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871"/>
  </bookViews>
  <sheets>
    <sheet name="$ per kVA Vs Cents per kWh " sheetId="9" r:id="rId1"/>
    <sheet name="New $ per kVA" sheetId="5" r:id="rId2"/>
    <sheet name="Cable &amp; Line Cust &amp; kVA Cost " sheetId="7" r:id="rId3"/>
    <sheet name="Solar Impact  Network Rev" sheetId="2" r:id="rId4"/>
  </sheets>
  <calcPr calcId="125725"/>
</workbook>
</file>

<file path=xl/calcChain.xml><?xml version="1.0" encoding="utf-8"?>
<calcChain xmlns="http://schemas.openxmlformats.org/spreadsheetml/2006/main">
  <c r="D66" i="5"/>
  <c r="D67"/>
  <c r="D68"/>
  <c r="D69"/>
  <c r="D70"/>
  <c r="D71"/>
  <c r="D72"/>
  <c r="D73"/>
  <c r="D74"/>
  <c r="F66"/>
  <c r="F67"/>
  <c r="F68"/>
  <c r="F69"/>
  <c r="F70"/>
  <c r="F71"/>
  <c r="F72"/>
  <c r="F73"/>
  <c r="F74"/>
  <c r="E66"/>
  <c r="E67"/>
  <c r="E68"/>
  <c r="E69"/>
  <c r="E70"/>
  <c r="E71"/>
  <c r="E72"/>
  <c r="E73"/>
  <c r="E74"/>
  <c r="E50"/>
  <c r="J35"/>
  <c r="J69" s="1"/>
  <c r="J34"/>
  <c r="J52" s="1"/>
  <c r="J33"/>
  <c r="J90" s="1"/>
  <c r="J32"/>
  <c r="J89" s="1"/>
  <c r="J31"/>
  <c r="J88" s="1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J93"/>
  <c r="J94"/>
  <c r="J95"/>
  <c r="J96"/>
  <c r="J97"/>
  <c r="F88"/>
  <c r="E88"/>
  <c r="D88"/>
  <c r="J70"/>
  <c r="J71"/>
  <c r="J72"/>
  <c r="J73"/>
  <c r="K73"/>
  <c r="J74"/>
  <c r="K74"/>
  <c r="J54"/>
  <c r="J55"/>
  <c r="J56"/>
  <c r="J57"/>
  <c r="K57"/>
  <c r="J58"/>
  <c r="K58"/>
  <c r="J49"/>
  <c r="F65"/>
  <c r="E65"/>
  <c r="D65"/>
  <c r="D50"/>
  <c r="F50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F49"/>
  <c r="E49"/>
  <c r="D49"/>
  <c r="W24"/>
  <c r="R24"/>
  <c r="P24"/>
  <c r="J53" i="7"/>
  <c r="J52"/>
  <c r="C56"/>
  <c r="C58" s="1"/>
  <c r="D56" s="1"/>
  <c r="C12"/>
  <c r="C57"/>
  <c r="C13"/>
  <c r="J7"/>
  <c r="J6"/>
  <c r="F51"/>
  <c r="H51" s="1"/>
  <c r="F52"/>
  <c r="F53"/>
  <c r="H53" s="1"/>
  <c r="E7"/>
  <c r="F7" s="1"/>
  <c r="E14" s="1"/>
  <c r="E6"/>
  <c r="E5"/>
  <c r="G60" i="2"/>
  <c r="E60"/>
  <c r="E59"/>
  <c r="J68" i="5" l="1"/>
  <c r="J91"/>
  <c r="J92"/>
  <c r="J53"/>
  <c r="J67"/>
  <c r="J51"/>
  <c r="J66"/>
  <c r="J50"/>
  <c r="J65"/>
  <c r="I52" i="7"/>
  <c r="K52" s="1"/>
  <c r="I53"/>
  <c r="K53" s="1"/>
  <c r="C14"/>
  <c r="D12" s="1"/>
  <c r="I7"/>
  <c r="E57"/>
  <c r="F57" s="1"/>
  <c r="D57"/>
  <c r="H52"/>
  <c r="H7"/>
  <c r="E48" i="2"/>
  <c r="D48"/>
  <c r="G48" s="1"/>
  <c r="C48"/>
  <c r="F48" s="1"/>
  <c r="H47"/>
  <c r="G47"/>
  <c r="F47"/>
  <c r="H46"/>
  <c r="G46"/>
  <c r="F46"/>
  <c r="E43"/>
  <c r="D43"/>
  <c r="C43"/>
  <c r="H42"/>
  <c r="G42"/>
  <c r="F42"/>
  <c r="H41"/>
  <c r="G41"/>
  <c r="F41"/>
  <c r="E38"/>
  <c r="D38"/>
  <c r="C38"/>
  <c r="H37"/>
  <c r="G37"/>
  <c r="F37"/>
  <c r="H36"/>
  <c r="G36"/>
  <c r="F36"/>
  <c r="E76" i="9"/>
  <c r="D76"/>
  <c r="H76"/>
  <c r="G76"/>
  <c r="Q67"/>
  <c r="P67"/>
  <c r="R66"/>
  <c r="R65"/>
  <c r="R64"/>
  <c r="R63"/>
  <c r="R62"/>
  <c r="R61"/>
  <c r="R60"/>
  <c r="R59"/>
  <c r="R58"/>
  <c r="R57"/>
  <c r="K58"/>
  <c r="K59"/>
  <c r="K60"/>
  <c r="K61"/>
  <c r="K62"/>
  <c r="K63"/>
  <c r="K64"/>
  <c r="K65"/>
  <c r="K66"/>
  <c r="K57"/>
  <c r="H58"/>
  <c r="H59"/>
  <c r="H60"/>
  <c r="H61"/>
  <c r="H62"/>
  <c r="H63"/>
  <c r="H64"/>
  <c r="H65"/>
  <c r="H66"/>
  <c r="H57"/>
  <c r="G58"/>
  <c r="G59"/>
  <c r="G60"/>
  <c r="G61"/>
  <c r="G62"/>
  <c r="G63"/>
  <c r="G64"/>
  <c r="G65"/>
  <c r="G66"/>
  <c r="G57"/>
  <c r="F58"/>
  <c r="F59"/>
  <c r="F60"/>
  <c r="F61"/>
  <c r="F62"/>
  <c r="F63"/>
  <c r="F64"/>
  <c r="E58"/>
  <c r="E59"/>
  <c r="E60"/>
  <c r="E61"/>
  <c r="E62"/>
  <c r="E63"/>
  <c r="E64"/>
  <c r="E65"/>
  <c r="E66"/>
  <c r="E57"/>
  <c r="J58"/>
  <c r="J59"/>
  <c r="J60"/>
  <c r="J61"/>
  <c r="J62"/>
  <c r="J63"/>
  <c r="J64"/>
  <c r="J65"/>
  <c r="J66"/>
  <c r="I46"/>
  <c r="I47"/>
  <c r="I48"/>
  <c r="I41"/>
  <c r="I58"/>
  <c r="I59"/>
  <c r="I60"/>
  <c r="I61"/>
  <c r="I62"/>
  <c r="I63"/>
  <c r="I64"/>
  <c r="F41"/>
  <c r="D58"/>
  <c r="D59"/>
  <c r="D60"/>
  <c r="D61"/>
  <c r="D62"/>
  <c r="D63"/>
  <c r="D64"/>
  <c r="D65"/>
  <c r="D66"/>
  <c r="D41"/>
  <c r="L24"/>
  <c r="L25"/>
  <c r="L26"/>
  <c r="L27"/>
  <c r="L28"/>
  <c r="L29"/>
  <c r="L30"/>
  <c r="L31"/>
  <c r="L32"/>
  <c r="L33"/>
  <c r="D34"/>
  <c r="E34"/>
  <c r="F34"/>
  <c r="G34"/>
  <c r="H34"/>
  <c r="I34"/>
  <c r="J34"/>
  <c r="K34"/>
  <c r="Q51"/>
  <c r="P51"/>
  <c r="R50"/>
  <c r="R49"/>
  <c r="R48"/>
  <c r="R47"/>
  <c r="R46"/>
  <c r="R45"/>
  <c r="R44"/>
  <c r="R43"/>
  <c r="R42"/>
  <c r="R41"/>
  <c r="K50"/>
  <c r="J50"/>
  <c r="H50"/>
  <c r="G50"/>
  <c r="E50"/>
  <c r="D50"/>
  <c r="K49"/>
  <c r="J49"/>
  <c r="H49"/>
  <c r="G49"/>
  <c r="E49"/>
  <c r="D49"/>
  <c r="K48"/>
  <c r="J48"/>
  <c r="H48"/>
  <c r="G48"/>
  <c r="F48"/>
  <c r="E48"/>
  <c r="D48"/>
  <c r="K47"/>
  <c r="J47"/>
  <c r="H47"/>
  <c r="G47"/>
  <c r="F47"/>
  <c r="E47"/>
  <c r="D47"/>
  <c r="K46"/>
  <c r="J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K42"/>
  <c r="J42"/>
  <c r="I42"/>
  <c r="H42"/>
  <c r="G42"/>
  <c r="F42"/>
  <c r="E42"/>
  <c r="D42"/>
  <c r="K41"/>
  <c r="J57"/>
  <c r="I57"/>
  <c r="H41"/>
  <c r="G41"/>
  <c r="F57"/>
  <c r="E41"/>
  <c r="D57"/>
  <c r="J18"/>
  <c r="I18"/>
  <c r="H18"/>
  <c r="G18"/>
  <c r="F18"/>
  <c r="E18"/>
  <c r="D18"/>
  <c r="F5" i="7"/>
  <c r="E12" s="1"/>
  <c r="F13" s="1"/>
  <c r="F6"/>
  <c r="D13" l="1"/>
  <c r="I6"/>
  <c r="K6" s="1"/>
  <c r="H5"/>
  <c r="G13"/>
  <c r="K7"/>
  <c r="H6"/>
  <c r="J51" i="9"/>
  <c r="G38" i="2"/>
  <c r="H43"/>
  <c r="H48"/>
  <c r="G43"/>
  <c r="F43"/>
  <c r="F38"/>
  <c r="H38"/>
  <c r="N57" i="9"/>
  <c r="M47"/>
  <c r="N48"/>
  <c r="N49"/>
  <c r="M41"/>
  <c r="D77" s="1"/>
  <c r="M59"/>
  <c r="N66"/>
  <c r="N58"/>
  <c r="M49"/>
  <c r="D85" s="1"/>
  <c r="F51"/>
  <c r="M50"/>
  <c r="M63"/>
  <c r="N62"/>
  <c r="N63"/>
  <c r="M64"/>
  <c r="N41"/>
  <c r="N42"/>
  <c r="N44"/>
  <c r="N45"/>
  <c r="N46"/>
  <c r="M65"/>
  <c r="N64"/>
  <c r="M57"/>
  <c r="M42"/>
  <c r="M43"/>
  <c r="M44"/>
  <c r="M45"/>
  <c r="M46"/>
  <c r="N47"/>
  <c r="M48"/>
  <c r="M66"/>
  <c r="M58"/>
  <c r="N65"/>
  <c r="N59"/>
  <c r="M60"/>
  <c r="M61"/>
  <c r="N60"/>
  <c r="E51"/>
  <c r="N50"/>
  <c r="M62"/>
  <c r="N61"/>
  <c r="N43"/>
  <c r="E67"/>
  <c r="H67"/>
  <c r="I51"/>
  <c r="R67"/>
  <c r="J67"/>
  <c r="K67"/>
  <c r="G67"/>
  <c r="F67"/>
  <c r="I67"/>
  <c r="D67"/>
  <c r="R51"/>
  <c r="K51"/>
  <c r="L34"/>
  <c r="G51"/>
  <c r="H51"/>
  <c r="D51"/>
  <c r="Q96" i="5"/>
  <c r="Q97"/>
  <c r="K31"/>
  <c r="K32"/>
  <c r="K33"/>
  <c r="K34"/>
  <c r="K35"/>
  <c r="K36"/>
  <c r="K37"/>
  <c r="K38"/>
  <c r="K9"/>
  <c r="K10"/>
  <c r="K11"/>
  <c r="K12"/>
  <c r="K13"/>
  <c r="K14"/>
  <c r="K15"/>
  <c r="K8"/>
  <c r="J98"/>
  <c r="F98"/>
  <c r="E98"/>
  <c r="D98"/>
  <c r="H97"/>
  <c r="G97"/>
  <c r="H96"/>
  <c r="G96"/>
  <c r="H95"/>
  <c r="G95"/>
  <c r="H94"/>
  <c r="G94"/>
  <c r="H93"/>
  <c r="G93"/>
  <c r="H92"/>
  <c r="G92"/>
  <c r="H91"/>
  <c r="G91"/>
  <c r="H90"/>
  <c r="G90"/>
  <c r="H89"/>
  <c r="G89"/>
  <c r="H88"/>
  <c r="G88"/>
  <c r="I40"/>
  <c r="I39"/>
  <c r="I38"/>
  <c r="I37"/>
  <c r="I36"/>
  <c r="I35"/>
  <c r="I34"/>
  <c r="I33"/>
  <c r="I32"/>
  <c r="I31"/>
  <c r="I9"/>
  <c r="I10"/>
  <c r="I11"/>
  <c r="I12"/>
  <c r="I13"/>
  <c r="I14"/>
  <c r="I15"/>
  <c r="I16"/>
  <c r="I17"/>
  <c r="I8"/>
  <c r="J75"/>
  <c r="F75"/>
  <c r="E75"/>
  <c r="D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J59"/>
  <c r="F59"/>
  <c r="E59"/>
  <c r="D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T41"/>
  <c r="N41"/>
  <c r="R33" s="1"/>
  <c r="M41"/>
  <c r="L41"/>
  <c r="P38" s="1"/>
  <c r="J41"/>
  <c r="Q33" s="1"/>
  <c r="F41"/>
  <c r="W33" s="1"/>
  <c r="E41"/>
  <c r="D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K70" l="1"/>
  <c r="K54"/>
  <c r="K59" s="1"/>
  <c r="K71"/>
  <c r="K55"/>
  <c r="K72"/>
  <c r="K56"/>
  <c r="K65"/>
  <c r="K49"/>
  <c r="K50"/>
  <c r="K66"/>
  <c r="K67"/>
  <c r="K51"/>
  <c r="K52"/>
  <c r="K68"/>
  <c r="K69"/>
  <c r="K53"/>
  <c r="U47" i="9"/>
  <c r="E83"/>
  <c r="T43"/>
  <c r="D79"/>
  <c r="U42"/>
  <c r="E78"/>
  <c r="T41"/>
  <c r="T46"/>
  <c r="D82"/>
  <c r="T42"/>
  <c r="D78"/>
  <c r="U46"/>
  <c r="E82"/>
  <c r="U41"/>
  <c r="E77"/>
  <c r="U49"/>
  <c r="E85"/>
  <c r="U50"/>
  <c r="E86"/>
  <c r="T45"/>
  <c r="D81"/>
  <c r="U45"/>
  <c r="E81"/>
  <c r="T50"/>
  <c r="D86"/>
  <c r="U48"/>
  <c r="E84"/>
  <c r="T49"/>
  <c r="U43"/>
  <c r="E79"/>
  <c r="T48"/>
  <c r="D84"/>
  <c r="T44"/>
  <c r="D80"/>
  <c r="U44"/>
  <c r="E80"/>
  <c r="T47"/>
  <c r="D83"/>
  <c r="U64"/>
  <c r="H84"/>
  <c r="U63"/>
  <c r="H83"/>
  <c r="T59"/>
  <c r="G79"/>
  <c r="T66"/>
  <c r="G86"/>
  <c r="T57"/>
  <c r="G77"/>
  <c r="T64"/>
  <c r="G84"/>
  <c r="U66"/>
  <c r="H86"/>
  <c r="T62"/>
  <c r="G82"/>
  <c r="T58"/>
  <c r="G78"/>
  <c r="U58"/>
  <c r="H78"/>
  <c r="U61"/>
  <c r="H81"/>
  <c r="U65"/>
  <c r="H85"/>
  <c r="U57"/>
  <c r="H77"/>
  <c r="U59"/>
  <c r="H79"/>
  <c r="T60"/>
  <c r="G80"/>
  <c r="T61"/>
  <c r="G81"/>
  <c r="T63"/>
  <c r="G83"/>
  <c r="U60"/>
  <c r="H80"/>
  <c r="T65"/>
  <c r="G85"/>
  <c r="U62"/>
  <c r="H82"/>
  <c r="G98" i="5"/>
  <c r="N51" i="9"/>
  <c r="E87" s="1"/>
  <c r="N67"/>
  <c r="M51"/>
  <c r="D87" s="1"/>
  <c r="M67"/>
  <c r="K18" i="5"/>
  <c r="Q38"/>
  <c r="Q34"/>
  <c r="K41"/>
  <c r="R40"/>
  <c r="R32"/>
  <c r="Q40"/>
  <c r="Q36"/>
  <c r="Q32"/>
  <c r="Q39"/>
  <c r="Q35"/>
  <c r="W32"/>
  <c r="Q31"/>
  <c r="Q37"/>
  <c r="H98"/>
  <c r="R39"/>
  <c r="W40"/>
  <c r="R36"/>
  <c r="R35"/>
  <c r="W36"/>
  <c r="G59"/>
  <c r="H75"/>
  <c r="V35"/>
  <c r="V32"/>
  <c r="V36"/>
  <c r="V40"/>
  <c r="O33"/>
  <c r="O37"/>
  <c r="O31"/>
  <c r="O34"/>
  <c r="O35"/>
  <c r="V33"/>
  <c r="V37"/>
  <c r="V31"/>
  <c r="O38"/>
  <c r="V34"/>
  <c r="V38"/>
  <c r="S35"/>
  <c r="S39"/>
  <c r="S31"/>
  <c r="S32"/>
  <c r="S36"/>
  <c r="S40"/>
  <c r="S33"/>
  <c r="S37"/>
  <c r="O36"/>
  <c r="S38"/>
  <c r="O32"/>
  <c r="S34"/>
  <c r="O40"/>
  <c r="V39"/>
  <c r="P35"/>
  <c r="P39"/>
  <c r="P32"/>
  <c r="P36"/>
  <c r="P37"/>
  <c r="P40"/>
  <c r="P33"/>
  <c r="P31"/>
  <c r="O39"/>
  <c r="P34"/>
  <c r="R38"/>
  <c r="W39"/>
  <c r="W35"/>
  <c r="R34"/>
  <c r="R31"/>
  <c r="R37"/>
  <c r="W38"/>
  <c r="W34"/>
  <c r="G75"/>
  <c r="W31"/>
  <c r="W37"/>
  <c r="H59"/>
  <c r="G41"/>
  <c r="H41"/>
  <c r="H9"/>
  <c r="H10"/>
  <c r="H11"/>
  <c r="H12"/>
  <c r="H13"/>
  <c r="H14"/>
  <c r="H15"/>
  <c r="H16"/>
  <c r="H17"/>
  <c r="H8"/>
  <c r="G9"/>
  <c r="G10"/>
  <c r="G11"/>
  <c r="G12"/>
  <c r="G13"/>
  <c r="G14"/>
  <c r="G15"/>
  <c r="G16"/>
  <c r="G17"/>
  <c r="G8"/>
  <c r="W18"/>
  <c r="W22" s="1"/>
  <c r="V25" s="1"/>
  <c r="V48" s="1"/>
  <c r="U18"/>
  <c r="T18"/>
  <c r="T22" s="1"/>
  <c r="T25" s="1"/>
  <c r="T48" s="1"/>
  <c r="S18"/>
  <c r="S22" s="1"/>
  <c r="S25" s="1"/>
  <c r="S48" s="1"/>
  <c r="R18"/>
  <c r="Q18"/>
  <c r="P18"/>
  <c r="O18"/>
  <c r="N18"/>
  <c r="M18"/>
  <c r="L18"/>
  <c r="F18"/>
  <c r="J18"/>
  <c r="E18"/>
  <c r="D18"/>
  <c r="X17"/>
  <c r="X16"/>
  <c r="X15"/>
  <c r="X14"/>
  <c r="X13"/>
  <c r="X12"/>
  <c r="X11"/>
  <c r="X10"/>
  <c r="X9"/>
  <c r="X8"/>
  <c r="E28" i="2"/>
  <c r="D28"/>
  <c r="C28"/>
  <c r="H27"/>
  <c r="G27"/>
  <c r="F27"/>
  <c r="H26"/>
  <c r="G26"/>
  <c r="F26"/>
  <c r="E23"/>
  <c r="D23"/>
  <c r="C23"/>
  <c r="H22"/>
  <c r="G22"/>
  <c r="F22"/>
  <c r="H21"/>
  <c r="G21"/>
  <c r="F21"/>
  <c r="E18"/>
  <c r="D18"/>
  <c r="C18"/>
  <c r="H17"/>
  <c r="G17"/>
  <c r="F17"/>
  <c r="H16"/>
  <c r="G16"/>
  <c r="F16"/>
  <c r="E13"/>
  <c r="D13"/>
  <c r="C13"/>
  <c r="H12"/>
  <c r="G12"/>
  <c r="F12"/>
  <c r="H11"/>
  <c r="G11"/>
  <c r="F11"/>
  <c r="E8"/>
  <c r="D8"/>
  <c r="C8"/>
  <c r="H7"/>
  <c r="G7"/>
  <c r="F7"/>
  <c r="H6"/>
  <c r="G6"/>
  <c r="F6"/>
  <c r="E61"/>
  <c r="F53"/>
  <c r="G53"/>
  <c r="H53"/>
  <c r="F54"/>
  <c r="G54"/>
  <c r="H54"/>
  <c r="H52"/>
  <c r="G52"/>
  <c r="F52"/>
  <c r="H51"/>
  <c r="G51"/>
  <c r="F51"/>
  <c r="H32"/>
  <c r="H31"/>
  <c r="G32"/>
  <c r="G31"/>
  <c r="F32"/>
  <c r="F31"/>
  <c r="D33"/>
  <c r="E33"/>
  <c r="C55"/>
  <c r="D55"/>
  <c r="E55"/>
  <c r="C33"/>
  <c r="K75" i="5" l="1"/>
  <c r="T51" i="9"/>
  <c r="V43"/>
  <c r="V44"/>
  <c r="V49"/>
  <c r="V46"/>
  <c r="V41"/>
  <c r="V61"/>
  <c r="V65"/>
  <c r="V47"/>
  <c r="V50"/>
  <c r="V66"/>
  <c r="V45"/>
  <c r="V59"/>
  <c r="V64"/>
  <c r="V42"/>
  <c r="V48"/>
  <c r="G55" i="2"/>
  <c r="F55"/>
  <c r="F28"/>
  <c r="G23"/>
  <c r="U51" i="9"/>
  <c r="G33" i="2"/>
  <c r="V63" i="9"/>
  <c r="V58"/>
  <c r="V57"/>
  <c r="U67"/>
  <c r="H87"/>
  <c r="V60"/>
  <c r="T67"/>
  <c r="G87"/>
  <c r="V62"/>
  <c r="R41" i="5"/>
  <c r="P41"/>
  <c r="U22"/>
  <c r="U25" s="1"/>
  <c r="U48" s="1"/>
  <c r="U33"/>
  <c r="U37"/>
  <c r="U31"/>
  <c r="U39"/>
  <c r="U34"/>
  <c r="U38"/>
  <c r="U35"/>
  <c r="U36"/>
  <c r="U40"/>
  <c r="U32"/>
  <c r="H18"/>
  <c r="T58"/>
  <c r="T74" s="1"/>
  <c r="T97" s="1"/>
  <c r="T54"/>
  <c r="T70" s="1"/>
  <c r="T93" s="1"/>
  <c r="T50"/>
  <c r="T66" s="1"/>
  <c r="T89" s="1"/>
  <c r="T55"/>
  <c r="T71" s="1"/>
  <c r="T94" s="1"/>
  <c r="T51"/>
  <c r="T67" s="1"/>
  <c r="T90" s="1"/>
  <c r="T53"/>
  <c r="T69" s="1"/>
  <c r="T92" s="1"/>
  <c r="T56"/>
  <c r="T72" s="1"/>
  <c r="T95" s="1"/>
  <c r="T52"/>
  <c r="T68" s="1"/>
  <c r="T91" s="1"/>
  <c r="T57"/>
  <c r="T73" s="1"/>
  <c r="T96" s="1"/>
  <c r="T49"/>
  <c r="T65" s="1"/>
  <c r="T88" s="1"/>
  <c r="W41"/>
  <c r="V41"/>
  <c r="Q41"/>
  <c r="S41"/>
  <c r="V56"/>
  <c r="V72" s="1"/>
  <c r="V95" s="1"/>
  <c r="V52"/>
  <c r="V68" s="1"/>
  <c r="V91" s="1"/>
  <c r="V57"/>
  <c r="V73" s="1"/>
  <c r="V96" s="1"/>
  <c r="V53"/>
  <c r="V69" s="1"/>
  <c r="V92" s="1"/>
  <c r="V49"/>
  <c r="V55"/>
  <c r="V71" s="1"/>
  <c r="V94" s="1"/>
  <c r="V58"/>
  <c r="V74" s="1"/>
  <c r="V97" s="1"/>
  <c r="V54"/>
  <c r="V70" s="1"/>
  <c r="V93" s="1"/>
  <c r="V50"/>
  <c r="V66" s="1"/>
  <c r="V89" s="1"/>
  <c r="V51"/>
  <c r="V67" s="1"/>
  <c r="V90" s="1"/>
  <c r="O41"/>
  <c r="G18"/>
  <c r="S57"/>
  <c r="S96" s="1"/>
  <c r="S53"/>
  <c r="S69" s="1"/>
  <c r="S92" s="1"/>
  <c r="S49"/>
  <c r="S65" s="1"/>
  <c r="S88" s="1"/>
  <c r="S58"/>
  <c r="S97" s="1"/>
  <c r="S54"/>
  <c r="S70" s="1"/>
  <c r="S93" s="1"/>
  <c r="S50"/>
  <c r="S66" s="1"/>
  <c r="S89" s="1"/>
  <c r="S52"/>
  <c r="S68" s="1"/>
  <c r="S91" s="1"/>
  <c r="S55"/>
  <c r="S71" s="1"/>
  <c r="S94" s="1"/>
  <c r="S51"/>
  <c r="S67" s="1"/>
  <c r="S90" s="1"/>
  <c r="S56"/>
  <c r="S72" s="1"/>
  <c r="S95" s="1"/>
  <c r="W25"/>
  <c r="W48" s="1"/>
  <c r="X18"/>
  <c r="P22"/>
  <c r="R22"/>
  <c r="G13" i="2"/>
  <c r="G28"/>
  <c r="F23"/>
  <c r="H28"/>
  <c r="H23"/>
  <c r="F13"/>
  <c r="G18"/>
  <c r="F18"/>
  <c r="H18"/>
  <c r="H13"/>
  <c r="G8"/>
  <c r="F8"/>
  <c r="H8"/>
  <c r="H33"/>
  <c r="F33"/>
  <c r="G59" s="1"/>
  <c r="V51" i="9" l="1"/>
  <c r="G61" i="2"/>
  <c r="V67" i="9"/>
  <c r="T98" i="5"/>
  <c r="S98"/>
  <c r="V59"/>
  <c r="V75" s="1"/>
  <c r="V65"/>
  <c r="V88" s="1"/>
  <c r="V98" s="1"/>
  <c r="S59"/>
  <c r="S75" s="1"/>
  <c r="U55"/>
  <c r="U71" s="1"/>
  <c r="U94" s="1"/>
  <c r="U51"/>
  <c r="U67" s="1"/>
  <c r="U90" s="1"/>
  <c r="U56"/>
  <c r="U72" s="1"/>
  <c r="U95" s="1"/>
  <c r="U52"/>
  <c r="U68" s="1"/>
  <c r="U91" s="1"/>
  <c r="U54"/>
  <c r="U70" s="1"/>
  <c r="U93" s="1"/>
  <c r="U57"/>
  <c r="U73" s="1"/>
  <c r="U96" s="1"/>
  <c r="U53"/>
  <c r="U69" s="1"/>
  <c r="U92" s="1"/>
  <c r="U49"/>
  <c r="U65" s="1"/>
  <c r="U88" s="1"/>
  <c r="U58"/>
  <c r="U74" s="1"/>
  <c r="U97" s="1"/>
  <c r="U50"/>
  <c r="U66" s="1"/>
  <c r="U89" s="1"/>
  <c r="T59"/>
  <c r="U41"/>
  <c r="W57"/>
  <c r="W73" s="1"/>
  <c r="W96" s="1"/>
  <c r="W53"/>
  <c r="W69" s="1"/>
  <c r="W92" s="1"/>
  <c r="W49"/>
  <c r="W65" s="1"/>
  <c r="W88" s="1"/>
  <c r="W58"/>
  <c r="W74" s="1"/>
  <c r="W97" s="1"/>
  <c r="W54"/>
  <c r="W70" s="1"/>
  <c r="W93" s="1"/>
  <c r="W50"/>
  <c r="W66" s="1"/>
  <c r="W89" s="1"/>
  <c r="W56"/>
  <c r="W72" s="1"/>
  <c r="W95" s="1"/>
  <c r="W55"/>
  <c r="W71" s="1"/>
  <c r="W94" s="1"/>
  <c r="W51"/>
  <c r="W67" s="1"/>
  <c r="W90" s="1"/>
  <c r="W52"/>
  <c r="W68" s="1"/>
  <c r="W91" s="1"/>
  <c r="R25"/>
  <c r="R48" s="1"/>
  <c r="Q25"/>
  <c r="Q48" s="1"/>
  <c r="X22"/>
  <c r="P25"/>
  <c r="P48" s="1"/>
  <c r="O25"/>
  <c r="O48" s="1"/>
  <c r="H61" i="2" l="1"/>
  <c r="J61" s="1"/>
  <c r="G66"/>
  <c r="H66" s="1"/>
  <c r="U98" i="5"/>
  <c r="W98"/>
  <c r="Q55"/>
  <c r="Q71" s="1"/>
  <c r="Q94" s="1"/>
  <c r="Q51"/>
  <c r="Q67" s="1"/>
  <c r="Q90" s="1"/>
  <c r="Q56"/>
  <c r="Q72" s="1"/>
  <c r="Q95" s="1"/>
  <c r="Q52"/>
  <c r="Q68" s="1"/>
  <c r="Q91" s="1"/>
  <c r="Q58"/>
  <c r="Q50"/>
  <c r="Q66" s="1"/>
  <c r="Q89" s="1"/>
  <c r="Q57"/>
  <c r="Q53"/>
  <c r="Q69" s="1"/>
  <c r="Q92" s="1"/>
  <c r="Q49"/>
  <c r="Q65" s="1"/>
  <c r="Q88" s="1"/>
  <c r="Q54"/>
  <c r="Q70" s="1"/>
  <c r="Q93" s="1"/>
  <c r="U59"/>
  <c r="U75" s="1"/>
  <c r="O53"/>
  <c r="O69" s="1"/>
  <c r="O57"/>
  <c r="O73" s="1"/>
  <c r="X48"/>
  <c r="O50"/>
  <c r="O66" s="1"/>
  <c r="O54"/>
  <c r="O70" s="1"/>
  <c r="O93" s="1"/>
  <c r="O58"/>
  <c r="O74" s="1"/>
  <c r="O56"/>
  <c r="O72" s="1"/>
  <c r="O95" s="1"/>
  <c r="O51"/>
  <c r="O67" s="1"/>
  <c r="O55"/>
  <c r="O71" s="1"/>
  <c r="O94" s="1"/>
  <c r="O52"/>
  <c r="O68" s="1"/>
  <c r="O49"/>
  <c r="O65" s="1"/>
  <c r="R56"/>
  <c r="R72" s="1"/>
  <c r="R95" s="1"/>
  <c r="R52"/>
  <c r="R68" s="1"/>
  <c r="R91" s="1"/>
  <c r="R57"/>
  <c r="R96" s="1"/>
  <c r="R53"/>
  <c r="R69" s="1"/>
  <c r="R92" s="1"/>
  <c r="R49"/>
  <c r="R65" s="1"/>
  <c r="R88" s="1"/>
  <c r="R51"/>
  <c r="R67" s="1"/>
  <c r="R90" s="1"/>
  <c r="R58"/>
  <c r="R97" s="1"/>
  <c r="R54"/>
  <c r="R70" s="1"/>
  <c r="R93" s="1"/>
  <c r="R50"/>
  <c r="R66" s="1"/>
  <c r="R89" s="1"/>
  <c r="R55"/>
  <c r="R71" s="1"/>
  <c r="R94" s="1"/>
  <c r="W59"/>
  <c r="W75" s="1"/>
  <c r="P51"/>
  <c r="P67" s="1"/>
  <c r="P55"/>
  <c r="P71" s="1"/>
  <c r="P49"/>
  <c r="P65" s="1"/>
  <c r="P88" s="1"/>
  <c r="P52"/>
  <c r="P68" s="1"/>
  <c r="P56"/>
  <c r="P72" s="1"/>
  <c r="P95" s="1"/>
  <c r="P50"/>
  <c r="P66" s="1"/>
  <c r="P58"/>
  <c r="P74" s="1"/>
  <c r="P97" s="1"/>
  <c r="P53"/>
  <c r="P69" s="1"/>
  <c r="P92" s="1"/>
  <c r="P57"/>
  <c r="P73" s="1"/>
  <c r="P54"/>
  <c r="P70" s="1"/>
  <c r="X25"/>
  <c r="Y66" l="1"/>
  <c r="H117" s="1"/>
  <c r="K117" s="1"/>
  <c r="P89"/>
  <c r="X65"/>
  <c r="G116" s="1"/>
  <c r="J116" s="1"/>
  <c r="O88"/>
  <c r="X88" s="1"/>
  <c r="X95"/>
  <c r="Y70"/>
  <c r="H121" s="1"/>
  <c r="K121" s="1"/>
  <c r="P93"/>
  <c r="Y71"/>
  <c r="H122" s="1"/>
  <c r="K122" s="1"/>
  <c r="P94"/>
  <c r="X94" s="1"/>
  <c r="Y73"/>
  <c r="H124" s="1"/>
  <c r="K124" s="1"/>
  <c r="P96"/>
  <c r="Y67"/>
  <c r="H118" s="1"/>
  <c r="K118" s="1"/>
  <c r="P90"/>
  <c r="Y68"/>
  <c r="H119" s="1"/>
  <c r="K119" s="1"/>
  <c r="P91"/>
  <c r="Q98"/>
  <c r="R98"/>
  <c r="X67"/>
  <c r="G118" s="1"/>
  <c r="J118" s="1"/>
  <c r="O90"/>
  <c r="X68"/>
  <c r="G119" s="1"/>
  <c r="J119" s="1"/>
  <c r="O91"/>
  <c r="X74"/>
  <c r="G125" s="1"/>
  <c r="J125" s="1"/>
  <c r="O97"/>
  <c r="X97" s="1"/>
  <c r="X73"/>
  <c r="G124" s="1"/>
  <c r="J124" s="1"/>
  <c r="O96"/>
  <c r="X69"/>
  <c r="G120" s="1"/>
  <c r="J120" s="1"/>
  <c r="O92"/>
  <c r="X92" s="1"/>
  <c r="X66"/>
  <c r="G117" s="1"/>
  <c r="J117" s="1"/>
  <c r="O89"/>
  <c r="Y72"/>
  <c r="H123" s="1"/>
  <c r="K123" s="1"/>
  <c r="X72"/>
  <c r="G123" s="1"/>
  <c r="J123" s="1"/>
  <c r="Y69"/>
  <c r="H120" s="1"/>
  <c r="K120" s="1"/>
  <c r="Y74"/>
  <c r="H125" s="1"/>
  <c r="K125" s="1"/>
  <c r="Y65"/>
  <c r="H116" s="1"/>
  <c r="K116" s="1"/>
  <c r="X71"/>
  <c r="G122" s="1"/>
  <c r="J122" s="1"/>
  <c r="X70"/>
  <c r="G121" s="1"/>
  <c r="J121" s="1"/>
  <c r="X53"/>
  <c r="X55"/>
  <c r="X54"/>
  <c r="X52"/>
  <c r="X51"/>
  <c r="O59"/>
  <c r="O75" s="1"/>
  <c r="X50"/>
  <c r="X57"/>
  <c r="X56"/>
  <c r="R59"/>
  <c r="R75" s="1"/>
  <c r="P59"/>
  <c r="P75" s="1"/>
  <c r="X58"/>
  <c r="X49"/>
  <c r="Q59"/>
  <c r="Q75" s="1"/>
  <c r="X90" l="1"/>
  <c r="X91"/>
  <c r="P98"/>
  <c r="X93"/>
  <c r="Y75"/>
  <c r="H126" s="1"/>
  <c r="K126" s="1"/>
  <c r="X96"/>
  <c r="O98"/>
  <c r="X89"/>
  <c r="X75"/>
  <c r="G126" s="1"/>
  <c r="J126" s="1"/>
  <c r="X59"/>
  <c r="X98" l="1"/>
</calcChain>
</file>

<file path=xl/sharedStrings.xml><?xml version="1.0" encoding="utf-8"?>
<sst xmlns="http://schemas.openxmlformats.org/spreadsheetml/2006/main" count="512" uniqueCount="222">
  <si>
    <t>Total</t>
  </si>
  <si>
    <t>ATMD (MVA)</t>
  </si>
  <si>
    <t>GWh</t>
  </si>
  <si>
    <t>Variable</t>
  </si>
  <si>
    <t>Customers</t>
  </si>
  <si>
    <t>Unreads</t>
  </si>
  <si>
    <t>Streetlights</t>
  </si>
  <si>
    <t>Residential</t>
  </si>
  <si>
    <t>Small Business</t>
  </si>
  <si>
    <t>General Business -Small</t>
  </si>
  <si>
    <t>General Business -Med</t>
  </si>
  <si>
    <t>General Business-Large</t>
  </si>
  <si>
    <t>LV &gt;1000kVA</t>
  </si>
  <si>
    <t>HV less that 1000kVA</t>
  </si>
  <si>
    <t>HV &gt; 1000kVA</t>
  </si>
  <si>
    <t>LV Only Customers</t>
  </si>
  <si>
    <t>RT1 - Anytime Energy Residential</t>
  </si>
  <si>
    <t>kWh</t>
  </si>
  <si>
    <t>RT3- TOU Energy Residential</t>
  </si>
  <si>
    <t>RT13- Anytime Energy Resid Bi-Direct</t>
  </si>
  <si>
    <t>RT15- TOU Resid Bi-Directional</t>
  </si>
  <si>
    <t>HV Fixed $/Cust/yr</t>
  </si>
  <si>
    <t>LV Fixed $/Cust/yr</t>
  </si>
  <si>
    <t>Metering $/Cust/yr</t>
  </si>
  <si>
    <t>Average</t>
  </si>
  <si>
    <t>Streetlights $/Cust ???</t>
  </si>
  <si>
    <t>Ave ATMD/ Customer (kVA)</t>
  </si>
  <si>
    <t>HV Network Variable ($M)</t>
  </si>
  <si>
    <t>HV Network Fixed          ($M)</t>
  </si>
  <si>
    <t>LV Network Fixed   ($M)</t>
  </si>
  <si>
    <t>LV Network Variable    ($M)</t>
  </si>
  <si>
    <t>Trxs Variable   ($M)</t>
  </si>
  <si>
    <t>Streetlights   ($M)</t>
  </si>
  <si>
    <t>Metering   ($M)</t>
  </si>
  <si>
    <t>Admin   ($M)</t>
  </si>
  <si>
    <t>Total     ($M)</t>
  </si>
  <si>
    <t>Total Revenue  ($M)</t>
  </si>
  <si>
    <t>ATMD (kVA)</t>
  </si>
  <si>
    <t>ATMD Transformers   (MVA)</t>
  </si>
  <si>
    <t>ATMD -          HV Network  (MVA)</t>
  </si>
  <si>
    <t>ATMD-               LV Network  (MVA)</t>
  </si>
  <si>
    <t>ATMD                    (MVA)</t>
  </si>
  <si>
    <t>Check</t>
  </si>
  <si>
    <t>Ave kWh/ Customer</t>
  </si>
  <si>
    <t xml:space="preserve">  2012/13</t>
  </si>
  <si>
    <t>2016/17</t>
  </si>
  <si>
    <t xml:space="preserve"> </t>
  </si>
  <si>
    <t>Ave kWh/Cust</t>
  </si>
  <si>
    <t>Ave ATMD /Cust</t>
  </si>
  <si>
    <t>Ld Fact</t>
  </si>
  <si>
    <t>Difference = Theoretical Solar Production</t>
  </si>
  <si>
    <t xml:space="preserve">  2008/09</t>
  </si>
  <si>
    <t xml:space="preserve">  2007/08</t>
  </si>
  <si>
    <t xml:space="preserve">  2009/10</t>
  </si>
  <si>
    <t xml:space="preserve">  2010/11</t>
  </si>
  <si>
    <t xml:space="preserve">  2011/12</t>
  </si>
  <si>
    <t>% Split</t>
  </si>
  <si>
    <t>Fixed</t>
  </si>
  <si>
    <t>Admin $/Cust/yr</t>
  </si>
  <si>
    <t>HV Network Variable % Responsible</t>
  </si>
  <si>
    <t>HV Network Fixed      %  Responsible</t>
  </si>
  <si>
    <t>LV Network Fixed  % Responsible</t>
  </si>
  <si>
    <t>LV Network Variable   % Responsible</t>
  </si>
  <si>
    <t>Trxs Variable   % Responsible</t>
  </si>
  <si>
    <t>Streetlights Fixed ??  % Responsible</t>
  </si>
  <si>
    <t>Metering Fixed  % Responsible</t>
  </si>
  <si>
    <t>Admin Fixed   % Responsible</t>
  </si>
  <si>
    <t>Admin Variable   % Responsible</t>
  </si>
  <si>
    <t>Customer Nos</t>
  </si>
  <si>
    <t>HV ATMD</t>
  </si>
  <si>
    <t>LV ATMD</t>
  </si>
  <si>
    <t>Trx ATMD</t>
  </si>
  <si>
    <t>Streetlights Only</t>
  </si>
  <si>
    <t xml:space="preserve">Customer ATMD </t>
  </si>
  <si>
    <t>Percentage Responsibilty of Costs - Fixed Cost Based on Customer Numbers, Variable Costs Based on ATMD for Cost Type</t>
  </si>
  <si>
    <t>Metering  Fixed  ($M)</t>
  </si>
  <si>
    <t>Streetlights  Fixed  ($M)</t>
  </si>
  <si>
    <t>Admin  Variable ($M)</t>
  </si>
  <si>
    <t>Total $M</t>
  </si>
  <si>
    <t>ATMD  All Customers                  (MVA)</t>
  </si>
  <si>
    <t>ATMD  LV Ony Customers                  (MVA)</t>
  </si>
  <si>
    <t>Streetlights $/Cust/yr ???</t>
  </si>
  <si>
    <t>Implied Losses From Zone Sub</t>
  </si>
  <si>
    <t>Total Network $/Cust/yr</t>
  </si>
  <si>
    <t>Admin  Variable  ($M)</t>
  </si>
  <si>
    <t>Admin  Fixed  ($M)</t>
  </si>
  <si>
    <t xml:space="preserve">Use Percentage Responsibility of Costs to Determine Each Customer Groups Implied Costs </t>
  </si>
  <si>
    <t xml:space="preserve">Determine the Fixed ( $/Customer/yr) and Variable ($/kVA) Costs for Each  Customer at their Meter (The $/kVA will vary due to the line losses) </t>
  </si>
  <si>
    <t>ATMD Only LV Customers</t>
  </si>
  <si>
    <t>LV Network Fixed             ($M)</t>
  </si>
  <si>
    <t>$M Fixed &amp; Variable</t>
  </si>
  <si>
    <t>Now Recast % Fixed and Variable Components of Total HV &amp; LV Network Costs and Admin Costs</t>
  </si>
  <si>
    <t xml:space="preserve">There is some inaccuracy in the % Responsibility for customer groups with low ATMDs and ATMDs including losses because of rounding in the data provided </t>
  </si>
  <si>
    <t>Incremental kVA</t>
  </si>
  <si>
    <t>Incremental Cost</t>
  </si>
  <si>
    <t>Ave Cost per kVA</t>
  </si>
  <si>
    <t>Incremental Cost per kVA</t>
  </si>
  <si>
    <t>HV Variable c/kWh</t>
  </si>
  <si>
    <t>LV Variable c/kwh</t>
  </si>
  <si>
    <t>Trxs Variable c/kwh</t>
  </si>
  <si>
    <t>Admin c/kwh</t>
  </si>
  <si>
    <t>Dist Total Fixed  $/Cust/yr</t>
  </si>
  <si>
    <t>Dist Total Variable Costs ($M)</t>
  </si>
  <si>
    <t>Dist Total Fixed Costs ($M)</t>
  </si>
  <si>
    <t xml:space="preserve">Ave kWh/ Customer </t>
  </si>
  <si>
    <t>2016/17 Price List Information Table 10 (Page 24)  (Additional Columns and Column Order Altered for Analysis)</t>
  </si>
  <si>
    <t xml:space="preserve">Compare Western Power Network Implied Tariff with Tariff developed based upon Higher Fixed Cost allocation </t>
  </si>
  <si>
    <t>% Difference in Fixed $/Cust/yr</t>
  </si>
  <si>
    <t>% Allocation Based On</t>
  </si>
  <si>
    <t>Metering $M</t>
  </si>
  <si>
    <t>Residential Total No Solar (2009/10 kWh/Cust x 2016/17 Cust Nos)</t>
  </si>
  <si>
    <t xml:space="preserve">Forecast Tariff Customer Data From WPC Price List Information </t>
  </si>
  <si>
    <t>Use as Benchmark Without PV</t>
  </si>
  <si>
    <t xml:space="preserve">  2013/14</t>
  </si>
  <si>
    <t xml:space="preserve">  2014/15</t>
  </si>
  <si>
    <t>ATMD (kVA</t>
  </si>
  <si>
    <t xml:space="preserve">  2015/16</t>
  </si>
  <si>
    <t>Number of PV Customers</t>
  </si>
  <si>
    <t>Average PV Size (kW)</t>
  </si>
  <si>
    <t>Loss of Network Revenue from Customers Taking Up Solar</t>
  </si>
  <si>
    <t>Cents/kWh</t>
  </si>
  <si>
    <t>$M /Annum</t>
  </si>
  <si>
    <t>Estimate Additional Network Costs Retailers have Incurred due to Residential Solar</t>
  </si>
  <si>
    <t>As a result of Western Power charging Cents/kWh</t>
  </si>
  <si>
    <t>LV Variable $/kVA/yr</t>
  </si>
  <si>
    <t>Trxs Variable $/kVA/yr</t>
  </si>
  <si>
    <t>Admin $/kVA/yr</t>
  </si>
  <si>
    <t>HV Variable $/kVA/yr</t>
  </si>
  <si>
    <t>Dist Total Variable $/kVA/yr</t>
  </si>
  <si>
    <t>Distribution Customer Group Information  from Table 15 (Page 51) 2016/17 Price List Info</t>
  </si>
  <si>
    <t>Distribution Customer Allocated Costs by Distribution Cost Type from Table 10 (Page 24) 2016/17 Price List Info</t>
  </si>
  <si>
    <t xml:space="preserve">Distribution Customer Group Costs and Alternative Tariffs ($/Customer and $/kVA) </t>
  </si>
  <si>
    <t xml:space="preserve">Distribution Customer Group Implied Tariffs ($/Customer and Cents/kWh) based on 2016/17 Price List Info </t>
  </si>
  <si>
    <t>Customer Groups</t>
  </si>
  <si>
    <t>Dist Total Variable Cents/kWh</t>
  </si>
  <si>
    <t xml:space="preserve">                                    Based on Western Power's 2016/17 Price List Information</t>
  </si>
  <si>
    <t>Western Power's Distribution Network Costs ($/kVA/yr) Verses Network Tariffs (Cents/kWh)</t>
  </si>
  <si>
    <t xml:space="preserve">For Customer Groups used in the Distribution System Cost of Supply </t>
  </si>
  <si>
    <t xml:space="preserve">        Network Costs</t>
  </si>
  <si>
    <t xml:space="preserve">           Based on 2016/17 Price List Information Published by Western Power DM# 13828866 </t>
  </si>
  <si>
    <t xml:space="preserve">Develop Tariffs ( $/Customer/yr &amp; $/kVA/yr) for Customer Groups  From Revenue Requirement Breakup  </t>
  </si>
  <si>
    <t xml:space="preserve">Check Prices give Revenue Requirement  ie $/Cust/yr Mulitplied by Customer Numbers and Customer Group ATMD KVA  multiplied by $/kVA/yr </t>
  </si>
  <si>
    <t>HV Variable  $/kVA/yr Metered</t>
  </si>
  <si>
    <t>LV Variable $/ kVA/yr Metered</t>
  </si>
  <si>
    <t>Trxs Variable $/kVA/yr Metered</t>
  </si>
  <si>
    <t>Admin $/kVA/yr Metered</t>
  </si>
  <si>
    <t>Total Network  $/kVA/yr Metered</t>
  </si>
  <si>
    <t>Residential Total With Solar (2015/16 kWh/Cust x 2016/17 Cust Nos)</t>
  </si>
  <si>
    <t>(Note 2015/16 kWh/Cust used as 2016/17 kWh/Cust seems too low)</t>
  </si>
  <si>
    <t>Assumed PV Load Factor for Avoided Metered kWh</t>
  </si>
  <si>
    <t xml:space="preserve">             PV Customers and Ave PV Size From </t>
  </si>
  <si>
    <t xml:space="preserve">          2017 Electricity Statement of Opportunities</t>
  </si>
  <si>
    <t xml:space="preserve">              Published by AEMO for WEM 15/6/17 </t>
  </si>
  <si>
    <t>Estimated Solar PV Impact on Network Metered kWh for 2016/17</t>
  </si>
  <si>
    <t>Ave Metered kWh Reduction of Customer with Solar PV</t>
  </si>
  <si>
    <t>Calculated Ave Solar kW/Cust</t>
  </si>
  <si>
    <t>Estimated</t>
  </si>
  <si>
    <t>kW</t>
  </si>
  <si>
    <t xml:space="preserve">kW/Cust </t>
  </si>
  <si>
    <t>for 2016/17</t>
  </si>
  <si>
    <t>Ave Network Metered kWh/Cust</t>
  </si>
  <si>
    <t>Network Metered kWh</t>
  </si>
  <si>
    <t>22kV U/G Medium (95mm2  Al)</t>
  </si>
  <si>
    <t>Derating Factor</t>
  </si>
  <si>
    <t xml:space="preserve">Capacity Catalogue (A) </t>
  </si>
  <si>
    <t>Capacity  WA Conditions (A)</t>
  </si>
  <si>
    <t>22kV 7/2.50 AAAC, 40m Bays  (35mm2)</t>
  </si>
  <si>
    <t>22kV 19/3.25 AAAC, 40m Bays (158mm2)</t>
  </si>
  <si>
    <t>Capacity  Summer Still Air  (A)</t>
  </si>
  <si>
    <t>22kV 7/4.75 AAAC, 40m Bays  (124mm2)</t>
  </si>
  <si>
    <t>Min Size</t>
  </si>
  <si>
    <t xml:space="preserve">22kV U/G Standard (185mm2 Al) </t>
  </si>
  <si>
    <t>Variable Cost  - Additional Cost to 185mm2</t>
  </si>
  <si>
    <t>Total Cost</t>
  </si>
  <si>
    <t>Cost per km</t>
  </si>
  <si>
    <t>% Total Cost</t>
  </si>
  <si>
    <t>22kV U/G Light ( 35mm2 Al)  Min Cable Size</t>
  </si>
  <si>
    <t>Delta kVA</t>
  </si>
  <si>
    <t>$/kVA Incremental Cost</t>
  </si>
  <si>
    <t>Examine Fixed and Variable Percentages of Total Underground Cable and Overhead Line Costs</t>
  </si>
  <si>
    <t>Fixed Cost  (Min O/H Line ) Irrespective of kVA</t>
  </si>
  <si>
    <t>Based on Western Power Corporation Network Assets Valuation as at 30 June 2004</t>
  </si>
  <si>
    <t>Underground HV Cables ( Fully Installed)</t>
  </si>
  <si>
    <t>Overhead 3 Phase Lines ( Fully Installed)</t>
  </si>
  <si>
    <t>Incremental Cost per kVA/km</t>
  </si>
  <si>
    <t>Split Total HV network costs as 70% Fixed (Customer) and 30% Variable (kVA Demand)</t>
  </si>
  <si>
    <t>Split Total LV network costs as 70% Fixed (Customer) and 30% Variable (kVA Demand)</t>
  </si>
  <si>
    <t>Split Total Administration  costs as 70% Fixed (Customer) and 30% Variable (kVA Demand)</t>
  </si>
  <si>
    <t>Customer Group (Fixed) $/Cust/yr</t>
  </si>
  <si>
    <t>Customer Group  (Fixed) $/Cust/yr</t>
  </si>
  <si>
    <t xml:space="preserve">Customer Group  (Variable)  $/kVA/yr </t>
  </si>
  <si>
    <t xml:space="preserve">Customer Group (Variable)  $/kVA/yr </t>
  </si>
  <si>
    <t>% Difference in Variable $/kVA/yr</t>
  </si>
  <si>
    <t>% Allocation to Fixed &amp; Variable</t>
  </si>
  <si>
    <t xml:space="preserve">    (Using Cents/kWh)</t>
  </si>
  <si>
    <t xml:space="preserve">       (Using $/kVA/yr)</t>
  </si>
  <si>
    <t xml:space="preserve">      %  Difference</t>
  </si>
  <si>
    <t xml:space="preserve"> Cost of 22kV U/G (185mm2 Al) Cable</t>
  </si>
  <si>
    <t>Cost of 22kV U/G ( 35mm2 Al)  Min Size Cable</t>
  </si>
  <si>
    <t xml:space="preserve">Incremental $/kVA/km  </t>
  </si>
  <si>
    <t>Cable kVA Capacity</t>
  </si>
  <si>
    <t>Installed Cable Cost
 $ per km</t>
  </si>
  <si>
    <t xml:space="preserve">      Fixed vs Variable Components of the Installed Cost of 22kV Underground Cables</t>
  </si>
  <si>
    <t>Installed Cost  $/ km</t>
  </si>
  <si>
    <t>Cable kVA Rating</t>
  </si>
  <si>
    <t>Line Capacity kVA</t>
  </si>
  <si>
    <t>Installed Cost  ($/ km)</t>
  </si>
  <si>
    <t xml:space="preserve">       (This appears reasonable  given</t>
  </si>
  <si>
    <t xml:space="preserve">   typical PV Total Load Factor above 20%) </t>
  </si>
  <si>
    <t xml:space="preserve">But Change Allocation Ratio Between Fixed and Variable Costs from Existing Levels to 70% Fixed and 30% Variable   </t>
  </si>
  <si>
    <t>Existing</t>
  </si>
  <si>
    <t>Customer Nos of Unreads and Streetlights Adjusted to match existing Costs</t>
  </si>
  <si>
    <t xml:space="preserve">     For Customer Groups Used in the Distribution System Cost of Supply</t>
  </si>
  <si>
    <t xml:space="preserve">     Distribution Network Costs  Verses the Implied Network Tariffs</t>
  </si>
  <si>
    <t xml:space="preserve">               Implied Network Tariffs</t>
  </si>
  <si>
    <t xml:space="preserve">    The Proposed Network Tariff Structure (with a Higher Fixed Cost Allocation)</t>
  </si>
  <si>
    <t xml:space="preserve">  in Comparison to the Existing Network Cost Structure (Based upon kVA Demand)</t>
  </si>
  <si>
    <t>Proposed  Network Tariffs</t>
  </si>
  <si>
    <t>Existing Network Costs</t>
  </si>
  <si>
    <t xml:space="preserve"> Note 1</t>
  </si>
  <si>
    <t>Note 1</t>
  </si>
  <si>
    <t>Note 1 : Unreads and Streetlight customer numbers adjusted to give the same network revenue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</si>
</sst>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%"/>
    <numFmt numFmtId="166" formatCode="_-&quot;$&quot;* #,##0_-;\-&quot;$&quot;* #,##0_-;_-&quot;$&quot;* &quot;-&quot;??_-;_-@_-"/>
    <numFmt numFmtId="167" formatCode="0.0"/>
    <numFmt numFmtId="168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3" fontId="0" fillId="3" borderId="0" xfId="0" applyNumberFormat="1" applyFill="1" applyAlignment="1">
      <alignment vertical="center"/>
    </xf>
    <xf numFmtId="0" fontId="2" fillId="5" borderId="0" xfId="0" applyFon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0" borderId="1" xfId="0" applyFont="1" applyBorder="1"/>
    <xf numFmtId="165" fontId="0" fillId="0" borderId="0" xfId="2" applyNumberFormat="1" applyFont="1"/>
    <xf numFmtId="44" fontId="0" fillId="0" borderId="1" xfId="3" applyFont="1" applyBorder="1"/>
    <xf numFmtId="0" fontId="2" fillId="0" borderId="1" xfId="0" applyFont="1" applyBorder="1" applyAlignment="1">
      <alignment horizontal="right"/>
    </xf>
    <xf numFmtId="44" fontId="0" fillId="0" borderId="1" xfId="3" applyNumberFormat="1" applyFont="1" applyBorder="1"/>
    <xf numFmtId="3" fontId="2" fillId="4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2" fillId="7" borderId="1" xfId="0" applyNumberFormat="1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12" borderId="1" xfId="0" applyNumberFormat="1" applyFont="1" applyFill="1" applyBorder="1" applyAlignment="1">
      <alignment vertical="center"/>
    </xf>
    <xf numFmtId="164" fontId="2" fillId="10" borderId="1" xfId="0" applyNumberFormat="1" applyFont="1" applyFill="1" applyBorder="1" applyAlignment="1">
      <alignment vertical="center"/>
    </xf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/>
    <xf numFmtId="0" fontId="0" fillId="0" borderId="0" xfId="0" applyFill="1"/>
    <xf numFmtId="0" fontId="3" fillId="0" borderId="0" xfId="0" applyFont="1"/>
    <xf numFmtId="43" fontId="0" fillId="0" borderId="0" xfId="1" applyNumberFormat="1" applyFont="1"/>
    <xf numFmtId="0" fontId="2" fillId="13" borderId="0" xfId="0" applyFont="1" applyFill="1" applyAlignment="1">
      <alignment horizontal="center" wrapText="1"/>
    </xf>
    <xf numFmtId="43" fontId="0" fillId="0" borderId="0" xfId="0" applyNumberFormat="1"/>
    <xf numFmtId="43" fontId="2" fillId="0" borderId="1" xfId="1" applyNumberFormat="1" applyFont="1" applyBorder="1"/>
    <xf numFmtId="1" fontId="0" fillId="2" borderId="0" xfId="0" applyNumberFormat="1" applyFill="1"/>
    <xf numFmtId="167" fontId="0" fillId="2" borderId="0" xfId="0" applyNumberFormat="1" applyFill="1"/>
    <xf numFmtId="167" fontId="2" fillId="2" borderId="1" xfId="0" applyNumberFormat="1" applyFont="1" applyFill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2" fillId="0" borderId="6" xfId="0" applyFont="1" applyBorder="1"/>
    <xf numFmtId="0" fontId="0" fillId="0" borderId="6" xfId="0" applyBorder="1"/>
    <xf numFmtId="0" fontId="2" fillId="0" borderId="3" xfId="0" applyFont="1" applyBorder="1"/>
    <xf numFmtId="0" fontId="2" fillId="4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12" borderId="0" xfId="0" applyFont="1" applyFill="1" applyBorder="1" applyAlignment="1">
      <alignment horizontal="center" wrapText="1"/>
    </xf>
    <xf numFmtId="0" fontId="2" fillId="10" borderId="0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3" fontId="0" fillId="4" borderId="0" xfId="0" applyNumberFormat="1" applyFill="1" applyBorder="1" applyAlignment="1">
      <alignment vertical="center"/>
    </xf>
    <xf numFmtId="3" fontId="0" fillId="5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0" fontId="0" fillId="12" borderId="0" xfId="0" applyFill="1" applyBorder="1"/>
    <xf numFmtId="0" fontId="0" fillId="10" borderId="0" xfId="0" applyFill="1" applyBorder="1"/>
    <xf numFmtId="164" fontId="2" fillId="9" borderId="6" xfId="0" applyNumberFormat="1" applyFont="1" applyFill="1" applyBorder="1"/>
    <xf numFmtId="164" fontId="0" fillId="6" borderId="0" xfId="0" applyNumberFormat="1" applyFill="1" applyBorder="1" applyAlignment="1">
      <alignment vertical="center"/>
    </xf>
    <xf numFmtId="164" fontId="0" fillId="7" borderId="0" xfId="0" applyNumberFormat="1" applyFill="1" applyBorder="1" applyAlignment="1">
      <alignment vertical="center"/>
    </xf>
    <xf numFmtId="164" fontId="0" fillId="8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12" borderId="0" xfId="0" applyNumberFormat="1" applyFill="1" applyBorder="1" applyAlignment="1">
      <alignment vertical="center"/>
    </xf>
    <xf numFmtId="164" fontId="0" fillId="10" borderId="0" xfId="0" applyNumberFormat="1" applyFill="1" applyBorder="1" applyAlignment="1">
      <alignment vertical="center"/>
    </xf>
    <xf numFmtId="164" fontId="0" fillId="6" borderId="0" xfId="0" applyNumberFormat="1" applyFill="1" applyBorder="1"/>
    <xf numFmtId="164" fontId="0" fillId="7" borderId="0" xfId="0" applyNumberFormat="1" applyFill="1" applyBorder="1"/>
    <xf numFmtId="164" fontId="0" fillId="8" borderId="0" xfId="0" applyNumberFormat="1" applyFill="1" applyBorder="1"/>
    <xf numFmtId="164" fontId="0" fillId="0" borderId="0" xfId="0" applyNumberFormat="1" applyBorder="1"/>
    <xf numFmtId="164" fontId="0" fillId="12" borderId="0" xfId="0" applyNumberFormat="1" applyFill="1" applyBorder="1"/>
    <xf numFmtId="164" fontId="0" fillId="10" borderId="0" xfId="0" applyNumberFormat="1" applyFill="1" applyBorder="1"/>
    <xf numFmtId="0" fontId="2" fillId="0" borderId="7" xfId="0" applyFont="1" applyBorder="1" applyAlignment="1">
      <alignment horizontal="right"/>
    </xf>
    <xf numFmtId="164" fontId="2" fillId="9" borderId="8" xfId="0" applyNumberFormat="1" applyFont="1" applyFill="1" applyBorder="1"/>
    <xf numFmtId="0" fontId="0" fillId="0" borderId="9" xfId="0" applyBorder="1"/>
    <xf numFmtId="43" fontId="2" fillId="11" borderId="1" xfId="1" applyNumberFormat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2" fillId="4" borderId="0" xfId="0" applyFont="1" applyFill="1" applyAlignment="1">
      <alignment horizontal="center" wrapText="1"/>
    </xf>
    <xf numFmtId="1" fontId="0" fillId="0" borderId="0" xfId="0" applyNumberFormat="1"/>
    <xf numFmtId="0" fontId="8" fillId="0" borderId="0" xfId="0" applyFont="1"/>
    <xf numFmtId="0" fontId="0" fillId="0" borderId="1" xfId="0" applyBorder="1"/>
    <xf numFmtId="167" fontId="4" fillId="2" borderId="1" xfId="0" applyNumberFormat="1" applyFont="1" applyFill="1" applyBorder="1"/>
    <xf numFmtId="1" fontId="4" fillId="8" borderId="1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/>
    <xf numFmtId="164" fontId="2" fillId="0" borderId="1" xfId="0" applyNumberFormat="1" applyFont="1" applyFill="1" applyBorder="1" applyAlignment="1">
      <alignment vertical="center"/>
    </xf>
    <xf numFmtId="10" fontId="2" fillId="0" borderId="0" xfId="2" applyNumberFormat="1" applyFont="1" applyFill="1" applyBorder="1" applyAlignment="1">
      <alignment vertical="center"/>
    </xf>
    <xf numFmtId="10" fontId="2" fillId="6" borderId="0" xfId="2" applyNumberFormat="1" applyFont="1" applyFill="1" applyBorder="1" applyAlignment="1">
      <alignment vertical="center"/>
    </xf>
    <xf numFmtId="10" fontId="2" fillId="7" borderId="0" xfId="2" applyNumberFormat="1" applyFont="1" applyFill="1" applyBorder="1" applyAlignment="1">
      <alignment vertical="center"/>
    </xf>
    <xf numFmtId="10" fontId="2" fillId="8" borderId="0" xfId="2" applyNumberFormat="1" applyFont="1" applyFill="1" applyBorder="1" applyAlignment="1">
      <alignment vertical="center"/>
    </xf>
    <xf numFmtId="0" fontId="2" fillId="14" borderId="0" xfId="0" applyFont="1" applyFill="1" applyBorder="1" applyAlignment="1">
      <alignment horizontal="center" wrapText="1"/>
    </xf>
    <xf numFmtId="10" fontId="2" fillId="12" borderId="0" xfId="2" applyNumberFormat="1" applyFont="1" applyFill="1" applyBorder="1" applyAlignment="1">
      <alignment vertical="center"/>
    </xf>
    <xf numFmtId="10" fontId="2" fillId="10" borderId="0" xfId="2" applyNumberFormat="1" applyFont="1" applyFill="1" applyBorder="1" applyAlignment="1">
      <alignment vertical="center"/>
    </xf>
    <xf numFmtId="10" fontId="2" fillId="6" borderId="1" xfId="2" applyNumberFormat="1" applyFont="1" applyFill="1" applyBorder="1" applyAlignment="1">
      <alignment vertical="center"/>
    </xf>
    <xf numFmtId="10" fontId="2" fillId="7" borderId="1" xfId="2" applyNumberFormat="1" applyFont="1" applyFill="1" applyBorder="1" applyAlignment="1">
      <alignment vertical="center"/>
    </xf>
    <xf numFmtId="10" fontId="2" fillId="8" borderId="1" xfId="2" applyNumberFormat="1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vertical="center"/>
    </xf>
    <xf numFmtId="10" fontId="2" fillId="12" borderId="1" xfId="2" applyNumberFormat="1" applyFont="1" applyFill="1" applyBorder="1" applyAlignment="1">
      <alignment vertical="center"/>
    </xf>
    <xf numFmtId="10" fontId="2" fillId="10" borderId="1" xfId="2" applyNumberFormat="1" applyFont="1" applyFill="1" applyBorder="1" applyAlignment="1">
      <alignment vertical="center"/>
    </xf>
    <xf numFmtId="167" fontId="4" fillId="2" borderId="0" xfId="0" applyNumberFormat="1" applyFont="1" applyFill="1" applyBorder="1"/>
    <xf numFmtId="1" fontId="4" fillId="8" borderId="0" xfId="0" applyNumberFormat="1" applyFont="1" applyFill="1" applyBorder="1"/>
    <xf numFmtId="167" fontId="4" fillId="0" borderId="0" xfId="0" applyNumberFormat="1" applyFont="1" applyFill="1" applyBorder="1"/>
    <xf numFmtId="1" fontId="4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5" xfId="0" applyFont="1" applyBorder="1" applyAlignment="1">
      <alignment horizontal="right"/>
    </xf>
    <xf numFmtId="2" fontId="0" fillId="6" borderId="0" xfId="0" applyNumberFormat="1" applyFill="1" applyBorder="1"/>
    <xf numFmtId="2" fontId="0" fillId="7" borderId="0" xfId="0" applyNumberFormat="1" applyFill="1" applyBorder="1"/>
    <xf numFmtId="2" fontId="0" fillId="8" borderId="0" xfId="0" applyNumberFormat="1" applyFill="1" applyBorder="1"/>
    <xf numFmtId="2" fontId="0" fillId="12" borderId="0" xfId="0" applyNumberFormat="1" applyFill="1" applyBorder="1"/>
    <xf numFmtId="2" fontId="0" fillId="10" borderId="0" xfId="0" applyNumberFormat="1" applyFill="1" applyBorder="1"/>
    <xf numFmtId="2" fontId="0" fillId="0" borderId="0" xfId="0" applyNumberFormat="1" applyFill="1" applyBorder="1"/>
    <xf numFmtId="44" fontId="2" fillId="0" borderId="0" xfId="3" applyNumberFormat="1" applyFont="1" applyFill="1" applyBorder="1" applyAlignment="1">
      <alignment vertical="center"/>
    </xf>
    <xf numFmtId="44" fontId="2" fillId="0" borderId="1" xfId="3" applyNumberFormat="1" applyFont="1" applyFill="1" applyBorder="1" applyAlignment="1">
      <alignment vertical="center"/>
    </xf>
    <xf numFmtId="1" fontId="4" fillId="15" borderId="1" xfId="0" applyNumberFormat="1" applyFont="1" applyFill="1" applyBorder="1"/>
    <xf numFmtId="0" fontId="2" fillId="0" borderId="2" xfId="0" applyFont="1" applyBorder="1"/>
    <xf numFmtId="0" fontId="2" fillId="2" borderId="0" xfId="0" applyFont="1" applyFill="1" applyBorder="1" applyAlignment="1">
      <alignment horizontal="center" wrapText="1"/>
    </xf>
    <xf numFmtId="0" fontId="2" fillId="15" borderId="0" xfId="0" applyFont="1" applyFill="1" applyBorder="1" applyAlignment="1">
      <alignment horizontal="center" wrapText="1"/>
    </xf>
    <xf numFmtId="165" fontId="4" fillId="15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9" fontId="9" fillId="0" borderId="0" xfId="2" applyFont="1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44" fontId="0" fillId="7" borderId="0" xfId="0" applyNumberFormat="1" applyFill="1" applyBorder="1"/>
    <xf numFmtId="44" fontId="0" fillId="8" borderId="0" xfId="0" applyNumberFormat="1" applyFill="1" applyBorder="1"/>
    <xf numFmtId="44" fontId="0" fillId="0" borderId="0" xfId="0" applyNumberFormat="1" applyBorder="1"/>
    <xf numFmtId="44" fontId="0" fillId="12" borderId="0" xfId="0" applyNumberFormat="1" applyFill="1" applyBorder="1"/>
    <xf numFmtId="44" fontId="0" fillId="10" borderId="0" xfId="0" applyNumberFormat="1" applyFill="1" applyBorder="1"/>
    <xf numFmtId="3" fontId="2" fillId="16" borderId="1" xfId="0" applyNumberFormat="1" applyFont="1" applyFill="1" applyBorder="1" applyAlignment="1">
      <alignment vertical="center"/>
    </xf>
    <xf numFmtId="0" fontId="9" fillId="7" borderId="0" xfId="0" applyFont="1" applyFill="1" applyAlignment="1">
      <alignment horizontal="center"/>
    </xf>
    <xf numFmtId="9" fontId="9" fillId="7" borderId="0" xfId="2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64" fontId="9" fillId="14" borderId="1" xfId="0" applyNumberFormat="1" applyFont="1" applyFill="1" applyBorder="1"/>
    <xf numFmtId="0" fontId="11" fillId="0" borderId="0" xfId="0" applyFont="1" applyFill="1"/>
    <xf numFmtId="3" fontId="9" fillId="0" borderId="13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9" fillId="6" borderId="15" xfId="0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9" fontId="9" fillId="6" borderId="17" xfId="2" applyFont="1" applyFill="1" applyBorder="1" applyAlignment="1">
      <alignment vertical="center"/>
    </xf>
    <xf numFmtId="164" fontId="9" fillId="6" borderId="13" xfId="0" applyNumberFormat="1" applyFont="1" applyFill="1" applyBorder="1" applyAlignment="1">
      <alignment vertical="center"/>
    </xf>
    <xf numFmtId="164" fontId="9" fillId="8" borderId="12" xfId="0" applyNumberFormat="1" applyFont="1" applyFill="1" applyBorder="1" applyAlignment="1">
      <alignment vertical="center"/>
    </xf>
    <xf numFmtId="0" fontId="9" fillId="8" borderId="18" xfId="0" applyFont="1" applyFill="1" applyBorder="1" applyAlignment="1">
      <alignment horizontal="center"/>
    </xf>
    <xf numFmtId="9" fontId="9" fillId="8" borderId="18" xfId="2" applyFont="1" applyFill="1" applyBorder="1" applyAlignment="1">
      <alignment vertical="center"/>
    </xf>
    <xf numFmtId="164" fontId="9" fillId="12" borderId="12" xfId="0" applyNumberFormat="1" applyFont="1" applyFill="1" applyBorder="1" applyAlignment="1">
      <alignment vertical="center"/>
    </xf>
    <xf numFmtId="0" fontId="9" fillId="12" borderId="18" xfId="0" applyFont="1" applyFill="1" applyBorder="1" applyAlignment="1">
      <alignment horizontal="center"/>
    </xf>
    <xf numFmtId="9" fontId="9" fillId="12" borderId="18" xfId="2" applyFont="1" applyFill="1" applyBorder="1" applyAlignment="1">
      <alignment vertical="center"/>
    </xf>
    <xf numFmtId="164" fontId="9" fillId="10" borderId="15" xfId="0" applyNumberFormat="1" applyFont="1" applyFill="1" applyBorder="1" applyAlignment="1">
      <alignment vertical="center"/>
    </xf>
    <xf numFmtId="0" fontId="9" fillId="10" borderId="16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9" fontId="9" fillId="10" borderId="17" xfId="2" applyFont="1" applyFill="1" applyBorder="1" applyAlignment="1">
      <alignment vertical="center"/>
    </xf>
    <xf numFmtId="164" fontId="9" fillId="10" borderId="13" xfId="0" applyNumberFormat="1" applyFont="1" applyFill="1" applyBorder="1" applyAlignment="1">
      <alignment vertical="center"/>
    </xf>
    <xf numFmtId="164" fontId="9" fillId="6" borderId="15" xfId="0" applyNumberFormat="1" applyFont="1" applyFill="1" applyBorder="1" applyAlignment="1">
      <alignment horizontal="center" vertical="center"/>
    </xf>
    <xf numFmtId="164" fontId="9" fillId="0" borderId="14" xfId="0" applyNumberFormat="1" applyFont="1" applyFill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center" vertical="center"/>
    </xf>
    <xf numFmtId="164" fontId="9" fillId="8" borderId="12" xfId="0" applyNumberFormat="1" applyFont="1" applyFill="1" applyBorder="1" applyAlignment="1">
      <alignment horizontal="center" vertical="center"/>
    </xf>
    <xf numFmtId="164" fontId="9" fillId="12" borderId="12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164" fontId="9" fillId="10" borderId="15" xfId="0" applyNumberFormat="1" applyFont="1" applyFill="1" applyBorder="1" applyAlignment="1">
      <alignment horizontal="center" vertical="center"/>
    </xf>
    <xf numFmtId="164" fontId="9" fillId="14" borderId="15" xfId="0" applyNumberFormat="1" applyFont="1" applyFill="1" applyBorder="1" applyAlignment="1">
      <alignment horizontal="center"/>
    </xf>
    <xf numFmtId="0" fontId="0" fillId="0" borderId="2" xfId="0" applyBorder="1"/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3" fontId="2" fillId="0" borderId="3" xfId="0" applyNumberFormat="1" applyFont="1" applyFill="1" applyBorder="1" applyAlignment="1">
      <alignment vertical="center"/>
    </xf>
    <xf numFmtId="0" fontId="2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12" borderId="3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vertical="center"/>
    </xf>
    <xf numFmtId="0" fontId="2" fillId="15" borderId="3" xfId="0" applyFont="1" applyFill="1" applyBorder="1" applyAlignment="1">
      <alignment horizontal="center" wrapText="1"/>
    </xf>
    <xf numFmtId="44" fontId="2" fillId="0" borderId="6" xfId="0" applyNumberFormat="1" applyFont="1" applyFill="1" applyBorder="1"/>
    <xf numFmtId="0" fontId="0" fillId="0" borderId="10" xfId="0" applyFill="1" applyBorder="1"/>
    <xf numFmtId="44" fontId="2" fillId="0" borderId="8" xfId="0" applyNumberFormat="1" applyFont="1" applyFill="1" applyBorder="1"/>
    <xf numFmtId="0" fontId="2" fillId="10" borderId="4" xfId="0" applyFont="1" applyFill="1" applyBorder="1" applyAlignment="1">
      <alignment horizontal="center" wrapText="1"/>
    </xf>
    <xf numFmtId="10" fontId="2" fillId="7" borderId="0" xfId="2" applyNumberFormat="1" applyFont="1" applyFill="1" applyBorder="1"/>
    <xf numFmtId="10" fontId="2" fillId="10" borderId="6" xfId="2" applyNumberFormat="1" applyFont="1" applyFill="1" applyBorder="1" applyAlignment="1">
      <alignment vertical="center"/>
    </xf>
    <xf numFmtId="10" fontId="2" fillId="10" borderId="8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0" fillId="0" borderId="0" xfId="3" applyFont="1" applyBorder="1"/>
    <xf numFmtId="166" fontId="0" fillId="0" borderId="0" xfId="3" applyNumberFormat="1" applyFont="1" applyBorder="1"/>
    <xf numFmtId="164" fontId="2" fillId="0" borderId="4" xfId="0" applyNumberFormat="1" applyFont="1" applyFill="1" applyBorder="1" applyAlignment="1">
      <alignment vertical="center"/>
    </xf>
    <xf numFmtId="0" fontId="2" fillId="10" borderId="6" xfId="0" applyFont="1" applyFill="1" applyBorder="1" applyAlignment="1">
      <alignment horizontal="center" wrapText="1"/>
    </xf>
    <xf numFmtId="44" fontId="0" fillId="0" borderId="6" xfId="3" applyFont="1" applyBorder="1"/>
    <xf numFmtId="44" fontId="0" fillId="0" borderId="8" xfId="3" applyFont="1" applyBorder="1"/>
    <xf numFmtId="0" fontId="2" fillId="0" borderId="4" xfId="0" applyFont="1" applyBorder="1"/>
    <xf numFmtId="0" fontId="2" fillId="3" borderId="6" xfId="0" applyFont="1" applyFill="1" applyBorder="1" applyAlignment="1">
      <alignment horizontal="center" wrapText="1"/>
    </xf>
    <xf numFmtId="3" fontId="0" fillId="3" borderId="6" xfId="0" applyNumberFormat="1" applyFill="1" applyBorder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168" fontId="0" fillId="0" borderId="0" xfId="0" applyNumberFormat="1"/>
    <xf numFmtId="168" fontId="0" fillId="0" borderId="1" xfId="0" applyNumberFormat="1" applyBorder="1"/>
    <xf numFmtId="0" fontId="5" fillId="0" borderId="5" xfId="0" applyFont="1" applyBorder="1"/>
    <xf numFmtId="0" fontId="2" fillId="0" borderId="0" xfId="0" applyFont="1" applyBorder="1"/>
    <xf numFmtId="0" fontId="14" fillId="0" borderId="2" xfId="0" applyFont="1" applyBorder="1"/>
    <xf numFmtId="0" fontId="15" fillId="0" borderId="2" xfId="0" applyFont="1" applyBorder="1"/>
    <xf numFmtId="0" fontId="0" fillId="0" borderId="5" xfId="0" applyBorder="1" applyAlignment="1">
      <alignment vertical="center"/>
    </xf>
    <xf numFmtId="0" fontId="15" fillId="0" borderId="3" xfId="0" applyFont="1" applyBorder="1"/>
    <xf numFmtId="0" fontId="5" fillId="0" borderId="0" xfId="0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vertical="center"/>
    </xf>
    <xf numFmtId="0" fontId="15" fillId="0" borderId="5" xfId="0" applyFont="1" applyBorder="1"/>
    <xf numFmtId="44" fontId="2" fillId="0" borderId="0" xfId="0" applyNumberFormat="1" applyFont="1" applyFill="1" applyBorder="1"/>
    <xf numFmtId="44" fontId="2" fillId="0" borderId="1" xfId="0" applyNumberFormat="1" applyFont="1" applyFill="1" applyBorder="1"/>
    <xf numFmtId="0" fontId="2" fillId="5" borderId="6" xfId="0" applyFont="1" applyFill="1" applyBorder="1" applyAlignment="1">
      <alignment horizontal="center" wrapText="1"/>
    </xf>
    <xf numFmtId="0" fontId="11" fillId="0" borderId="0" xfId="0" applyFont="1" applyBorder="1"/>
    <xf numFmtId="0" fontId="0" fillId="0" borderId="3" xfId="0" applyFont="1" applyBorder="1"/>
    <xf numFmtId="0" fontId="11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6" xfId="0" applyFont="1" applyBorder="1"/>
    <xf numFmtId="0" fontId="11" fillId="0" borderId="5" xfId="0" applyFont="1" applyBorder="1"/>
    <xf numFmtId="0" fontId="0" fillId="0" borderId="5" xfId="0" applyFont="1" applyBorder="1"/>
    <xf numFmtId="0" fontId="13" fillId="0" borderId="5" xfId="0" applyFont="1" applyBorder="1"/>
    <xf numFmtId="0" fontId="2" fillId="17" borderId="0" xfId="0" applyFont="1" applyFill="1" applyAlignment="1">
      <alignment horizontal="center" wrapText="1"/>
    </xf>
    <xf numFmtId="1" fontId="0" fillId="17" borderId="0" xfId="0" applyNumberFormat="1" applyFill="1"/>
    <xf numFmtId="167" fontId="0" fillId="17" borderId="0" xfId="0" applyNumberFormat="1" applyFill="1"/>
    <xf numFmtId="167" fontId="2" fillId="17" borderId="1" xfId="0" applyNumberFormat="1" applyFont="1" applyFill="1" applyBorder="1"/>
    <xf numFmtId="10" fontId="10" fillId="0" borderId="0" xfId="2" applyNumberFormat="1" applyFont="1" applyFill="1" applyBorder="1" applyAlignment="1">
      <alignment vertical="center"/>
    </xf>
    <xf numFmtId="164" fontId="4" fillId="0" borderId="20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164" fontId="9" fillId="0" borderId="0" xfId="0" applyNumberFormat="1" applyFont="1" applyFill="1" applyBorder="1"/>
    <xf numFmtId="164" fontId="2" fillId="0" borderId="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right"/>
    </xf>
    <xf numFmtId="167" fontId="4" fillId="0" borderId="10" xfId="0" applyNumberFormat="1" applyFont="1" applyFill="1" applyBorder="1"/>
    <xf numFmtId="1" fontId="4" fillId="0" borderId="10" xfId="0" applyNumberFormat="1" applyFont="1" applyFill="1" applyBorder="1"/>
    <xf numFmtId="10" fontId="10" fillId="0" borderId="10" xfId="2" applyNumberFormat="1" applyFont="1" applyFill="1" applyBorder="1" applyAlignment="1">
      <alignment vertical="center"/>
    </xf>
    <xf numFmtId="10" fontId="2" fillId="0" borderId="10" xfId="2" applyNumberFormat="1" applyFont="1" applyFill="1" applyBorder="1" applyAlignment="1">
      <alignment vertical="center"/>
    </xf>
    <xf numFmtId="10" fontId="2" fillId="0" borderId="11" xfId="2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2" fillId="3" borderId="0" xfId="0" applyNumberFormat="1" applyFont="1" applyFill="1" applyBorder="1" applyAlignment="1">
      <alignment vertical="center"/>
    </xf>
    <xf numFmtId="167" fontId="4" fillId="0" borderId="3" xfId="0" applyNumberFormat="1" applyFont="1" applyFill="1" applyBorder="1"/>
    <xf numFmtId="1" fontId="4" fillId="0" borderId="3" xfId="0" applyNumberFormat="1" applyFont="1" applyFill="1" applyBorder="1"/>
    <xf numFmtId="10" fontId="2" fillId="0" borderId="3" xfId="2" applyNumberFormat="1" applyFont="1" applyFill="1" applyBorder="1" applyAlignment="1">
      <alignment vertical="center"/>
    </xf>
    <xf numFmtId="0" fontId="0" fillId="0" borderId="4" xfId="0" applyFill="1" applyBorder="1"/>
    <xf numFmtId="0" fontId="15" fillId="0" borderId="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3" fillId="0" borderId="3" xfId="0" applyFont="1" applyBorder="1"/>
    <xf numFmtId="0" fontId="13" fillId="0" borderId="0" xfId="0" applyFont="1" applyBorder="1"/>
    <xf numFmtId="0" fontId="2" fillId="0" borderId="9" xfId="0" applyFont="1" applyBorder="1" applyAlignment="1">
      <alignment horizontal="right"/>
    </xf>
    <xf numFmtId="3" fontId="2" fillId="5" borderId="10" xfId="0" applyNumberFormat="1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167" fontId="4" fillId="2" borderId="10" xfId="0" applyNumberFormat="1" applyFont="1" applyFill="1" applyBorder="1"/>
    <xf numFmtId="1" fontId="4" fillId="8" borderId="10" xfId="0" applyNumberFormat="1" applyFont="1" applyFill="1" applyBorder="1"/>
    <xf numFmtId="1" fontId="4" fillId="15" borderId="10" xfId="0" applyNumberFormat="1" applyFont="1" applyFill="1" applyBorder="1"/>
    <xf numFmtId="3" fontId="2" fillId="4" borderId="10" xfId="0" applyNumberFormat="1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0" fillId="0" borderId="6" xfId="0" applyFill="1" applyBorder="1"/>
    <xf numFmtId="0" fontId="2" fillId="14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right"/>
    </xf>
    <xf numFmtId="164" fontId="2" fillId="0" borderId="10" xfId="0" applyNumberFormat="1" applyFont="1" applyFill="1" applyBorder="1" applyAlignment="1">
      <alignment vertical="center"/>
    </xf>
    <xf numFmtId="0" fontId="0" fillId="3" borderId="0" xfId="0" applyFill="1" applyBorder="1"/>
    <xf numFmtId="0" fontId="0" fillId="3" borderId="1" xfId="0" applyFill="1" applyBorder="1"/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19" xfId="0" applyBorder="1"/>
    <xf numFmtId="0" fontId="2" fillId="4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wrapText="1"/>
    </xf>
    <xf numFmtId="0" fontId="2" fillId="7" borderId="19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12" borderId="19" xfId="0" applyFont="1" applyFill="1" applyBorder="1" applyAlignment="1">
      <alignment horizontal="center" wrapText="1"/>
    </xf>
    <xf numFmtId="0" fontId="2" fillId="10" borderId="19" xfId="0" applyFont="1" applyFill="1" applyBorder="1" applyAlignment="1">
      <alignment horizontal="center" wrapText="1"/>
    </xf>
    <xf numFmtId="0" fontId="0" fillId="0" borderId="23" xfId="0" applyBorder="1"/>
    <xf numFmtId="0" fontId="2" fillId="9" borderId="24" xfId="0" applyFont="1" applyFill="1" applyBorder="1" applyAlignment="1">
      <alignment horizontal="center" wrapText="1"/>
    </xf>
    <xf numFmtId="164" fontId="2" fillId="6" borderId="10" xfId="0" applyNumberFormat="1" applyFont="1" applyFill="1" applyBorder="1" applyAlignment="1">
      <alignment vertical="center"/>
    </xf>
    <xf numFmtId="164" fontId="2" fillId="7" borderId="10" xfId="0" applyNumberFormat="1" applyFont="1" applyFill="1" applyBorder="1" applyAlignment="1">
      <alignment vertical="center"/>
    </xf>
    <xf numFmtId="164" fontId="2" fillId="8" borderId="10" xfId="0" applyNumberFormat="1" applyFont="1" applyFill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12" borderId="10" xfId="0" applyNumberFormat="1" applyFont="1" applyFill="1" applyBorder="1" applyAlignment="1">
      <alignment vertical="center"/>
    </xf>
    <xf numFmtId="164" fontId="2" fillId="10" borderId="10" xfId="0" applyNumberFormat="1" applyFont="1" applyFill="1" applyBorder="1" applyAlignment="1">
      <alignment vertical="center"/>
    </xf>
    <xf numFmtId="164" fontId="2" fillId="9" borderId="11" xfId="0" applyNumberFormat="1" applyFont="1" applyFill="1" applyBorder="1"/>
    <xf numFmtId="0" fontId="2" fillId="0" borderId="25" xfId="0" applyFont="1" applyBorder="1" applyAlignment="1">
      <alignment horizontal="right"/>
    </xf>
    <xf numFmtId="3" fontId="0" fillId="4" borderId="25" xfId="0" applyNumberFormat="1" applyFill="1" applyBorder="1" applyAlignment="1">
      <alignment vertical="center"/>
    </xf>
    <xf numFmtId="3" fontId="0" fillId="5" borderId="25" xfId="0" applyNumberForma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167" fontId="4" fillId="2" borderId="25" xfId="0" applyNumberFormat="1" applyFont="1" applyFill="1" applyBorder="1"/>
    <xf numFmtId="1" fontId="4" fillId="8" borderId="25" xfId="0" applyNumberFormat="1" applyFont="1" applyFill="1" applyBorder="1"/>
    <xf numFmtId="2" fontId="0" fillId="6" borderId="25" xfId="0" applyNumberFormat="1" applyFill="1" applyBorder="1"/>
    <xf numFmtId="44" fontId="0" fillId="7" borderId="25" xfId="0" applyNumberFormat="1" applyFill="1" applyBorder="1"/>
    <xf numFmtId="44" fontId="0" fillId="8" borderId="25" xfId="0" applyNumberFormat="1" applyFill="1" applyBorder="1"/>
    <xf numFmtId="44" fontId="0" fillId="0" borderId="25" xfId="0" applyNumberFormat="1" applyBorder="1"/>
    <xf numFmtId="44" fontId="0" fillId="12" borderId="25" xfId="0" applyNumberFormat="1" applyFill="1" applyBorder="1"/>
    <xf numFmtId="44" fontId="0" fillId="10" borderId="25" xfId="0" applyNumberFormat="1" applyFill="1" applyBorder="1"/>
    <xf numFmtId="0" fontId="2" fillId="0" borderId="26" xfId="0" applyFont="1" applyBorder="1" applyAlignment="1">
      <alignment horizontal="right"/>
    </xf>
    <xf numFmtId="164" fontId="2" fillId="9" borderId="27" xfId="0" applyNumberFormat="1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0" borderId="13" xfId="0" applyBorder="1"/>
    <xf numFmtId="0" fontId="9" fillId="0" borderId="15" xfId="0" applyFont="1" applyBorder="1" applyAlignment="1">
      <alignment horizontal="right"/>
    </xf>
    <xf numFmtId="0" fontId="0" fillId="15" borderId="0" xfId="0" applyFill="1" applyBorder="1"/>
    <xf numFmtId="164" fontId="9" fillId="6" borderId="10" xfId="0" applyNumberFormat="1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9" fillId="10" borderId="10" xfId="0" applyFont="1" applyFill="1" applyBorder="1" applyAlignment="1">
      <alignment horizontal="center" wrapText="1"/>
    </xf>
    <xf numFmtId="164" fontId="9" fillId="9" borderId="11" xfId="0" applyNumberFormat="1" applyFont="1" applyFill="1" applyBorder="1"/>
    <xf numFmtId="0" fontId="2" fillId="15" borderId="19" xfId="0" applyFont="1" applyFill="1" applyBorder="1" applyAlignment="1">
      <alignment horizontal="center" wrapText="1"/>
    </xf>
    <xf numFmtId="165" fontId="4" fillId="15" borderId="25" xfId="2" applyNumberFormat="1" applyFont="1" applyFill="1" applyBorder="1"/>
    <xf numFmtId="2" fontId="0" fillId="7" borderId="25" xfId="0" applyNumberFormat="1" applyFill="1" applyBorder="1"/>
    <xf numFmtId="2" fontId="0" fillId="8" borderId="25" xfId="0" applyNumberFormat="1" applyFill="1" applyBorder="1"/>
    <xf numFmtId="2" fontId="0" fillId="0" borderId="25" xfId="0" applyNumberFormat="1" applyFill="1" applyBorder="1"/>
    <xf numFmtId="2" fontId="0" fillId="12" borderId="25" xfId="0" applyNumberFormat="1" applyFill="1" applyBorder="1"/>
    <xf numFmtId="2" fontId="0" fillId="10" borderId="25" xfId="0" applyNumberFormat="1" applyFill="1" applyBorder="1"/>
    <xf numFmtId="0" fontId="2" fillId="0" borderId="5" xfId="0" applyFont="1" applyFill="1" applyBorder="1" applyAlignment="1">
      <alignment horizontal="right"/>
    </xf>
    <xf numFmtId="3" fontId="2" fillId="15" borderId="19" xfId="0" applyNumberFormat="1" applyFont="1" applyFill="1" applyBorder="1" applyAlignment="1">
      <alignment vertical="center"/>
    </xf>
    <xf numFmtId="0" fontId="0" fillId="15" borderId="25" xfId="0" applyFill="1" applyBorder="1"/>
    <xf numFmtId="0" fontId="0" fillId="15" borderId="10" xfId="0" applyFill="1" applyBorder="1"/>
    <xf numFmtId="0" fontId="0" fillId="3" borderId="25" xfId="0" applyFill="1" applyBorder="1"/>
    <xf numFmtId="0" fontId="0" fillId="3" borderId="10" xfId="0" applyFill="1" applyBorder="1"/>
    <xf numFmtId="44" fontId="2" fillId="0" borderId="0" xfId="0" applyNumberFormat="1" applyFont="1" applyBorder="1"/>
    <xf numFmtId="9" fontId="2" fillId="0" borderId="0" xfId="2" applyFont="1" applyBorder="1"/>
    <xf numFmtId="9" fontId="2" fillId="0" borderId="6" xfId="2" applyFont="1" applyBorder="1"/>
    <xf numFmtId="44" fontId="2" fillId="0" borderId="1" xfId="0" applyNumberFormat="1" applyFont="1" applyBorder="1"/>
    <xf numFmtId="9" fontId="2" fillId="0" borderId="1" xfId="2" applyFont="1" applyBorder="1"/>
    <xf numFmtId="9" fontId="2" fillId="0" borderId="8" xfId="2" applyFont="1" applyBorder="1"/>
    <xf numFmtId="0" fontId="4" fillId="0" borderId="0" xfId="0" applyFont="1" applyBorder="1"/>
    <xf numFmtId="0" fontId="4" fillId="0" borderId="6" xfId="0" applyFont="1" applyBorder="1"/>
    <xf numFmtId="0" fontId="14" fillId="0" borderId="5" xfId="0" applyFont="1" applyBorder="1"/>
    <xf numFmtId="0" fontId="14" fillId="0" borderId="0" xfId="0" applyFont="1" applyBorder="1"/>
    <xf numFmtId="164" fontId="0" fillId="6" borderId="25" xfId="0" applyNumberFormat="1" applyFill="1" applyBorder="1"/>
    <xf numFmtId="164" fontId="0" fillId="7" borderId="25" xfId="0" applyNumberFormat="1" applyFill="1" applyBorder="1"/>
    <xf numFmtId="164" fontId="0" fillId="8" borderId="25" xfId="0" applyNumberFormat="1" applyFill="1" applyBorder="1"/>
    <xf numFmtId="164" fontId="0" fillId="0" borderId="25" xfId="0" applyNumberFormat="1" applyBorder="1"/>
    <xf numFmtId="164" fontId="0" fillId="12" borderId="25" xfId="0" applyNumberFormat="1" applyFill="1" applyBorder="1"/>
    <xf numFmtId="164" fontId="0" fillId="0" borderId="25" xfId="0" applyNumberFormat="1" applyFill="1" applyBorder="1"/>
    <xf numFmtId="164" fontId="0" fillId="10" borderId="25" xfId="0" applyNumberFormat="1" applyFill="1" applyBorder="1"/>
    <xf numFmtId="0" fontId="2" fillId="18" borderId="19" xfId="0" applyFont="1" applyFill="1" applyBorder="1" applyAlignment="1">
      <alignment horizontal="center" wrapText="1"/>
    </xf>
    <xf numFmtId="3" fontId="0" fillId="18" borderId="0" xfId="0" applyNumberFormat="1" applyFill="1" applyBorder="1" applyAlignment="1">
      <alignment vertical="center"/>
    </xf>
    <xf numFmtId="3" fontId="0" fillId="18" borderId="25" xfId="0" applyNumberFormat="1" applyFill="1" applyBorder="1" applyAlignment="1">
      <alignment vertical="center"/>
    </xf>
    <xf numFmtId="3" fontId="2" fillId="18" borderId="10" xfId="0" applyNumberFormat="1" applyFont="1" applyFill="1" applyBorder="1" applyAlignment="1">
      <alignment vertical="center"/>
    </xf>
    <xf numFmtId="0" fontId="13" fillId="0" borderId="5" xfId="0" applyFont="1" applyBorder="1" applyAlignment="1"/>
    <xf numFmtId="1" fontId="2" fillId="4" borderId="0" xfId="0" applyNumberFormat="1" applyFont="1" applyFill="1"/>
    <xf numFmtId="1" fontId="2" fillId="0" borderId="0" xfId="0" applyNumberFormat="1" applyFont="1" applyFill="1"/>
    <xf numFmtId="0" fontId="8" fillId="0" borderId="2" xfId="0" applyFont="1" applyBorder="1"/>
    <xf numFmtId="0" fontId="2" fillId="3" borderId="4" xfId="0" applyFont="1" applyFill="1" applyBorder="1" applyAlignment="1">
      <alignment horizontal="center" wrapText="1"/>
    </xf>
    <xf numFmtId="1" fontId="0" fillId="0" borderId="0" xfId="0" applyNumberFormat="1" applyBorder="1"/>
    <xf numFmtId="2" fontId="0" fillId="0" borderId="0" xfId="0" applyNumberFormat="1" applyBorder="1"/>
    <xf numFmtId="165" fontId="0" fillId="0" borderId="6" xfId="2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0" fillId="0" borderId="10" xfId="0" applyNumberFormat="1" applyBorder="1"/>
    <xf numFmtId="165" fontId="0" fillId="0" borderId="11" xfId="2" applyNumberFormat="1" applyFont="1" applyBorder="1"/>
    <xf numFmtId="0" fontId="10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0" borderId="11" xfId="0" applyFont="1" applyBorder="1"/>
    <xf numFmtId="0" fontId="2" fillId="0" borderId="0" xfId="0" applyFont="1" applyFill="1" applyAlignment="1">
      <alignment horizontal="left"/>
    </xf>
    <xf numFmtId="43" fontId="10" fillId="7" borderId="14" xfId="1" applyNumberFormat="1" applyFont="1" applyFill="1" applyBorder="1"/>
    <xf numFmtId="0" fontId="14" fillId="0" borderId="2" xfId="0" applyFont="1" applyBorder="1" applyAlignment="1"/>
    <xf numFmtId="0" fontId="4" fillId="0" borderId="5" xfId="0" applyFont="1" applyBorder="1" applyAlignment="1">
      <alignment horizontal="center"/>
    </xf>
    <xf numFmtId="0" fontId="0" fillId="0" borderId="10" xfId="0" applyBorder="1"/>
    <xf numFmtId="44" fontId="16" fillId="0" borderId="0" xfId="0" applyNumberFormat="1" applyFont="1" applyBorder="1"/>
    <xf numFmtId="0" fontId="16" fillId="0" borderId="0" xfId="0" applyFont="1" applyBorder="1"/>
    <xf numFmtId="168" fontId="16" fillId="0" borderId="6" xfId="0" applyNumberFormat="1" applyFont="1" applyBorder="1"/>
    <xf numFmtId="44" fontId="16" fillId="0" borderId="1" xfId="0" applyNumberFormat="1" applyFont="1" applyBorder="1"/>
    <xf numFmtId="0" fontId="16" fillId="0" borderId="1" xfId="0" applyFont="1" applyBorder="1"/>
    <xf numFmtId="168" fontId="16" fillId="0" borderId="8" xfId="0" applyNumberFormat="1" applyFont="1" applyBorder="1"/>
    <xf numFmtId="0" fontId="10" fillId="0" borderId="7" xfId="0" applyFont="1" applyBorder="1" applyAlignment="1">
      <alignment horizontal="right"/>
    </xf>
    <xf numFmtId="0" fontId="14" fillId="0" borderId="5" xfId="0" applyFont="1" applyBorder="1" applyAlignment="1"/>
    <xf numFmtId="0" fontId="10" fillId="6" borderId="0" xfId="0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11" xfId="0" applyBorder="1"/>
    <xf numFmtId="9" fontId="2" fillId="0" borderId="0" xfId="2" applyFont="1"/>
    <xf numFmtId="0" fontId="0" fillId="0" borderId="28" xfId="0" applyBorder="1"/>
    <xf numFmtId="9" fontId="9" fillId="6" borderId="12" xfId="2" applyFont="1" applyFill="1" applyBorder="1" applyAlignment="1">
      <alignment vertical="center"/>
    </xf>
    <xf numFmtId="9" fontId="9" fillId="7" borderId="12" xfId="2" applyFont="1" applyFill="1" applyBorder="1" applyAlignment="1">
      <alignment vertical="center"/>
    </xf>
    <xf numFmtId="9" fontId="9" fillId="10" borderId="12" xfId="2" applyFont="1" applyFill="1" applyBorder="1" applyAlignment="1">
      <alignment vertical="center"/>
    </xf>
    <xf numFmtId="9" fontId="13" fillId="0" borderId="0" xfId="0" applyNumberFormat="1" applyFont="1" applyBorder="1"/>
    <xf numFmtId="0" fontId="6" fillId="0" borderId="5" xfId="0" applyFont="1" applyBorder="1"/>
    <xf numFmtId="168" fontId="0" fillId="0" borderId="0" xfId="0" applyNumberFormat="1" applyBorder="1"/>
    <xf numFmtId="168" fontId="0" fillId="0" borderId="6" xfId="0" applyNumberFormat="1" applyBorder="1"/>
    <xf numFmtId="168" fontId="0" fillId="0" borderId="8" xfId="0" applyNumberFormat="1" applyBorder="1"/>
    <xf numFmtId="9" fontId="9" fillId="0" borderId="0" xfId="2" applyFont="1" applyFill="1" applyBorder="1" applyAlignment="1">
      <alignment horizontal="center" vertical="center"/>
    </xf>
    <xf numFmtId="0" fontId="17" fillId="0" borderId="0" xfId="0" applyFont="1"/>
    <xf numFmtId="0" fontId="9" fillId="0" borderId="2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1" fontId="0" fillId="0" borderId="6" xfId="0" applyNumberFormat="1" applyBorder="1" applyAlignment="1">
      <alignment wrapText="1"/>
    </xf>
    <xf numFmtId="1" fontId="0" fillId="0" borderId="6" xfId="0" applyNumberFormat="1" applyBorder="1"/>
    <xf numFmtId="0" fontId="17" fillId="0" borderId="9" xfId="0" applyFont="1" applyBorder="1"/>
    <xf numFmtId="2" fontId="0" fillId="0" borderId="6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1" fontId="2" fillId="0" borderId="0" xfId="0" applyNumberFormat="1" applyFont="1" applyBorder="1"/>
    <xf numFmtId="1" fontId="4" fillId="0" borderId="0" xfId="0" applyNumberFormat="1" applyFont="1" applyBorder="1"/>
    <xf numFmtId="0" fontId="6" fillId="0" borderId="0" xfId="0" applyFont="1" applyBorder="1"/>
    <xf numFmtId="0" fontId="0" fillId="7" borderId="5" xfId="0" applyFill="1" applyBorder="1"/>
    <xf numFmtId="0" fontId="10" fillId="7" borderId="0" xfId="0" applyFont="1" applyFill="1" applyBorder="1" applyAlignment="1">
      <alignment horizontal="center"/>
    </xf>
    <xf numFmtId="0" fontId="10" fillId="7" borderId="0" xfId="0" applyFont="1" applyFill="1" applyBorder="1"/>
    <xf numFmtId="0" fontId="10" fillId="7" borderId="5" xfId="0" applyFont="1" applyFill="1" applyBorder="1"/>
    <xf numFmtId="0" fontId="16" fillId="7" borderId="0" xfId="0" applyFont="1" applyFill="1" applyBorder="1"/>
    <xf numFmtId="0" fontId="0" fillId="7" borderId="9" xfId="0" applyFill="1" applyBorder="1"/>
    <xf numFmtId="0" fontId="0" fillId="7" borderId="10" xfId="0" applyFill="1" applyBorder="1"/>
    <xf numFmtId="2" fontId="2" fillId="0" borderId="6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1" fontId="2" fillId="4" borderId="29" xfId="0" applyNumberFormat="1" applyFont="1" applyFill="1" applyBorder="1"/>
    <xf numFmtId="0" fontId="2" fillId="0" borderId="29" xfId="0" applyFont="1" applyBorder="1"/>
    <xf numFmtId="1" fontId="2" fillId="6" borderId="29" xfId="0" applyNumberFormat="1" applyFont="1" applyFill="1" applyBorder="1"/>
    <xf numFmtId="3" fontId="2" fillId="5" borderId="0" xfId="0" applyNumberFormat="1" applyFont="1" applyFill="1" applyBorder="1" applyAlignment="1">
      <alignment vertical="center"/>
    </xf>
    <xf numFmtId="3" fontId="0" fillId="19" borderId="0" xfId="0" applyNumberForma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6600"/>
      <color rgb="FFFFFFCC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200203</xdr:colOff>
      <xdr:row>41</xdr:row>
      <xdr:rowOff>98000</xdr:rowOff>
    </xdr:from>
    <xdr:to>
      <xdr:col>18</xdr:col>
      <xdr:colOff>832671</xdr:colOff>
      <xdr:row>45</xdr:row>
      <xdr:rowOff>136100</xdr:rowOff>
    </xdr:to>
    <xdr:sp macro="" textlink="">
      <xdr:nvSpPr>
        <xdr:cNvPr id="4" name="Right Arrow 3"/>
        <xdr:cNvSpPr/>
      </xdr:nvSpPr>
      <xdr:spPr>
        <a:xfrm rot="10800000" flipH="1">
          <a:off x="7772578" y="12013775"/>
          <a:ext cx="632468" cy="800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18</xdr:col>
      <xdr:colOff>200203</xdr:colOff>
      <xdr:row>57</xdr:row>
      <xdr:rowOff>98000</xdr:rowOff>
    </xdr:from>
    <xdr:to>
      <xdr:col>18</xdr:col>
      <xdr:colOff>832671</xdr:colOff>
      <xdr:row>61</xdr:row>
      <xdr:rowOff>136100</xdr:rowOff>
    </xdr:to>
    <xdr:sp macro="" textlink="">
      <xdr:nvSpPr>
        <xdr:cNvPr id="6" name="Right Arrow 5"/>
        <xdr:cNvSpPr/>
      </xdr:nvSpPr>
      <xdr:spPr>
        <a:xfrm rot="10800000" flipH="1">
          <a:off x="15078253" y="11289875"/>
          <a:ext cx="508643" cy="800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11</xdr:col>
      <xdr:colOff>209728</xdr:colOff>
      <xdr:row>57</xdr:row>
      <xdr:rowOff>107525</xdr:rowOff>
    </xdr:from>
    <xdr:to>
      <xdr:col>11</xdr:col>
      <xdr:colOff>718371</xdr:colOff>
      <xdr:row>61</xdr:row>
      <xdr:rowOff>145625</xdr:rowOff>
    </xdr:to>
    <xdr:sp macro="" textlink="">
      <xdr:nvSpPr>
        <xdr:cNvPr id="5" name="Right Arrow 4"/>
        <xdr:cNvSpPr/>
      </xdr:nvSpPr>
      <xdr:spPr>
        <a:xfrm rot="10800000" flipH="1">
          <a:off x="10001428" y="9203900"/>
          <a:ext cx="508643" cy="800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11</xdr:col>
      <xdr:colOff>200203</xdr:colOff>
      <xdr:row>41</xdr:row>
      <xdr:rowOff>98000</xdr:rowOff>
    </xdr:from>
    <xdr:to>
      <xdr:col>11</xdr:col>
      <xdr:colOff>708846</xdr:colOff>
      <xdr:row>45</xdr:row>
      <xdr:rowOff>136100</xdr:rowOff>
    </xdr:to>
    <xdr:sp macro="" textlink="">
      <xdr:nvSpPr>
        <xdr:cNvPr id="7" name="Right Arrow 6"/>
        <xdr:cNvSpPr/>
      </xdr:nvSpPr>
      <xdr:spPr>
        <a:xfrm rot="10800000" flipH="1">
          <a:off x="9991903" y="12985325"/>
          <a:ext cx="508643" cy="800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205721</xdr:colOff>
      <xdr:row>78</xdr:row>
      <xdr:rowOff>105724</xdr:rowOff>
    </xdr:from>
    <xdr:to>
      <xdr:col>13</xdr:col>
      <xdr:colOff>790602</xdr:colOff>
      <xdr:row>80</xdr:row>
      <xdr:rowOff>35830</xdr:rowOff>
    </xdr:to>
    <xdr:sp macro="" textlink="">
      <xdr:nvSpPr>
        <xdr:cNvPr id="5" name="Right Arrow 4"/>
        <xdr:cNvSpPr/>
      </xdr:nvSpPr>
      <xdr:spPr>
        <a:xfrm rot="20609397" flipH="1">
          <a:off x="5615921" y="15793399"/>
          <a:ext cx="4442506" cy="31110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10</xdr:col>
      <xdr:colOff>381000</xdr:colOff>
      <xdr:row>92</xdr:row>
      <xdr:rowOff>104775</xdr:rowOff>
    </xdr:from>
    <xdr:to>
      <xdr:col>13</xdr:col>
      <xdr:colOff>584404</xdr:colOff>
      <xdr:row>94</xdr:row>
      <xdr:rowOff>104775</xdr:rowOff>
    </xdr:to>
    <xdr:sp macro="" textlink="">
      <xdr:nvSpPr>
        <xdr:cNvPr id="6" name="Right Arrow 5"/>
        <xdr:cNvSpPr/>
      </xdr:nvSpPr>
      <xdr:spPr>
        <a:xfrm rot="10800000" flipH="1">
          <a:off x="7296150" y="18726150"/>
          <a:ext cx="2556079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9</xdr:col>
      <xdr:colOff>742950</xdr:colOff>
      <xdr:row>75</xdr:row>
      <xdr:rowOff>38100</xdr:rowOff>
    </xdr:from>
    <xdr:to>
      <xdr:col>12</xdr:col>
      <xdr:colOff>85725</xdr:colOff>
      <xdr:row>83</xdr:row>
      <xdr:rowOff>152400</xdr:rowOff>
    </xdr:to>
    <xdr:sp macro="" textlink="">
      <xdr:nvSpPr>
        <xdr:cNvPr id="7" name="Multiply 6"/>
        <xdr:cNvSpPr/>
      </xdr:nvSpPr>
      <xdr:spPr>
        <a:xfrm>
          <a:off x="6905625" y="15154275"/>
          <a:ext cx="1600200" cy="1638300"/>
        </a:xfrm>
        <a:prstGeom prst="mathMultiply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247650</xdr:colOff>
      <xdr:row>87</xdr:row>
      <xdr:rowOff>142875</xdr:rowOff>
    </xdr:from>
    <xdr:to>
      <xdr:col>12</xdr:col>
      <xdr:colOff>685800</xdr:colOff>
      <xdr:row>92</xdr:row>
      <xdr:rowOff>123825</xdr:rowOff>
    </xdr:to>
    <xdr:sp macro="" textlink="">
      <xdr:nvSpPr>
        <xdr:cNvPr id="8" name="Equal 7"/>
        <xdr:cNvSpPr/>
      </xdr:nvSpPr>
      <xdr:spPr>
        <a:xfrm>
          <a:off x="7915275" y="17811750"/>
          <a:ext cx="1190625" cy="933450"/>
        </a:xfrm>
        <a:prstGeom prst="mathEqual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778259</xdr:colOff>
      <xdr:row>18</xdr:row>
      <xdr:rowOff>2203</xdr:rowOff>
    </xdr:from>
    <xdr:to>
      <xdr:col>15</xdr:col>
      <xdr:colOff>164717</xdr:colOff>
      <xdr:row>20</xdr:row>
      <xdr:rowOff>169246</xdr:rowOff>
    </xdr:to>
    <xdr:sp macro="" textlink="">
      <xdr:nvSpPr>
        <xdr:cNvPr id="9" name="Right Arrow 8"/>
        <xdr:cNvSpPr/>
      </xdr:nvSpPr>
      <xdr:spPr>
        <a:xfrm rot="13927049" flipH="1">
          <a:off x="10660679" y="4131058"/>
          <a:ext cx="548043" cy="177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18</xdr:col>
      <xdr:colOff>199568</xdr:colOff>
      <xdr:row>17</xdr:row>
      <xdr:rowOff>148144</xdr:rowOff>
    </xdr:from>
    <xdr:to>
      <xdr:col>18</xdr:col>
      <xdr:colOff>400056</xdr:colOff>
      <xdr:row>20</xdr:row>
      <xdr:rowOff>176776</xdr:rowOff>
    </xdr:to>
    <xdr:sp macro="" textlink="">
      <xdr:nvSpPr>
        <xdr:cNvPr id="11" name="Right Arrow 10"/>
        <xdr:cNvSpPr/>
      </xdr:nvSpPr>
      <xdr:spPr>
        <a:xfrm rot="16200000" flipH="1">
          <a:off x="13491908" y="3896029"/>
          <a:ext cx="4191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19</xdr:col>
      <xdr:colOff>247194</xdr:colOff>
      <xdr:row>17</xdr:row>
      <xdr:rowOff>148145</xdr:rowOff>
    </xdr:from>
    <xdr:to>
      <xdr:col>19</xdr:col>
      <xdr:colOff>447682</xdr:colOff>
      <xdr:row>20</xdr:row>
      <xdr:rowOff>176777</xdr:rowOff>
    </xdr:to>
    <xdr:sp macro="" textlink="">
      <xdr:nvSpPr>
        <xdr:cNvPr id="12" name="Right Arrow 11"/>
        <xdr:cNvSpPr/>
      </xdr:nvSpPr>
      <xdr:spPr>
        <a:xfrm rot="16200000" flipH="1">
          <a:off x="14377734" y="3896030"/>
          <a:ext cx="4191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20</xdr:col>
      <xdr:colOff>323395</xdr:colOff>
      <xdr:row>17</xdr:row>
      <xdr:rowOff>148146</xdr:rowOff>
    </xdr:from>
    <xdr:to>
      <xdr:col>20</xdr:col>
      <xdr:colOff>523883</xdr:colOff>
      <xdr:row>20</xdr:row>
      <xdr:rowOff>176778</xdr:rowOff>
    </xdr:to>
    <xdr:sp macro="" textlink="">
      <xdr:nvSpPr>
        <xdr:cNvPr id="13" name="Right Arrow 12"/>
        <xdr:cNvSpPr/>
      </xdr:nvSpPr>
      <xdr:spPr>
        <a:xfrm rot="16200000" flipH="1">
          <a:off x="15292135" y="3896031"/>
          <a:ext cx="4191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22</xdr:col>
      <xdr:colOff>237671</xdr:colOff>
      <xdr:row>17</xdr:row>
      <xdr:rowOff>167196</xdr:rowOff>
    </xdr:from>
    <xdr:to>
      <xdr:col>22</xdr:col>
      <xdr:colOff>438159</xdr:colOff>
      <xdr:row>21</xdr:row>
      <xdr:rowOff>5328</xdr:rowOff>
    </xdr:to>
    <xdr:sp macro="" textlink="">
      <xdr:nvSpPr>
        <xdr:cNvPr id="14" name="Right Arrow 13"/>
        <xdr:cNvSpPr/>
      </xdr:nvSpPr>
      <xdr:spPr>
        <a:xfrm rot="16200000" flipH="1">
          <a:off x="16863761" y="3915081"/>
          <a:ext cx="4191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17</xdr:col>
      <xdr:colOff>302338</xdr:colOff>
      <xdr:row>96</xdr:row>
      <xdr:rowOff>105682</xdr:rowOff>
    </xdr:from>
    <xdr:to>
      <xdr:col>18</xdr:col>
      <xdr:colOff>89828</xdr:colOff>
      <xdr:row>104</xdr:row>
      <xdr:rowOff>100199</xdr:rowOff>
    </xdr:to>
    <xdr:sp macro="" textlink="">
      <xdr:nvSpPr>
        <xdr:cNvPr id="15" name="Half Frame 14"/>
        <xdr:cNvSpPr/>
      </xdr:nvSpPr>
      <xdr:spPr>
        <a:xfrm rot="7907525" flipH="1">
          <a:off x="12428925" y="20754620"/>
          <a:ext cx="1528042" cy="597115"/>
        </a:xfrm>
        <a:prstGeom prst="halfFram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479453</xdr:colOff>
      <xdr:row>18</xdr:row>
      <xdr:rowOff>21543</xdr:rowOff>
    </xdr:from>
    <xdr:to>
      <xdr:col>15</xdr:col>
      <xdr:colOff>661531</xdr:colOff>
      <xdr:row>20</xdr:row>
      <xdr:rowOff>141648</xdr:rowOff>
    </xdr:to>
    <xdr:sp macro="" textlink="">
      <xdr:nvSpPr>
        <xdr:cNvPr id="19" name="Right Arrow 18"/>
        <xdr:cNvSpPr/>
      </xdr:nvSpPr>
      <xdr:spPr>
        <a:xfrm rot="18090137" flipH="1">
          <a:off x="11178439" y="4124407"/>
          <a:ext cx="501105" cy="1820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17</xdr:col>
      <xdr:colOff>16258</xdr:colOff>
      <xdr:row>18</xdr:row>
      <xdr:rowOff>30779</xdr:rowOff>
    </xdr:from>
    <xdr:to>
      <xdr:col>17</xdr:col>
      <xdr:colOff>193291</xdr:colOff>
      <xdr:row>21</xdr:row>
      <xdr:rowOff>7322</xdr:rowOff>
    </xdr:to>
    <xdr:sp macro="" textlink="">
      <xdr:nvSpPr>
        <xdr:cNvPr id="20" name="Right Arrow 19"/>
        <xdr:cNvSpPr/>
      </xdr:nvSpPr>
      <xdr:spPr>
        <a:xfrm rot="13927049" flipH="1">
          <a:off x="12422803" y="4159634"/>
          <a:ext cx="548043" cy="177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17</xdr:col>
      <xdr:colOff>508028</xdr:colOff>
      <xdr:row>18</xdr:row>
      <xdr:rowOff>50118</xdr:rowOff>
    </xdr:from>
    <xdr:to>
      <xdr:col>17</xdr:col>
      <xdr:colOff>690106</xdr:colOff>
      <xdr:row>20</xdr:row>
      <xdr:rowOff>170223</xdr:rowOff>
    </xdr:to>
    <xdr:sp macro="" textlink="">
      <xdr:nvSpPr>
        <xdr:cNvPr id="21" name="Right Arrow 20"/>
        <xdr:cNvSpPr/>
      </xdr:nvSpPr>
      <xdr:spPr>
        <a:xfrm rot="18090137" flipH="1">
          <a:off x="12940564" y="4152982"/>
          <a:ext cx="501105" cy="18207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22</xdr:col>
      <xdr:colOff>266245</xdr:colOff>
      <xdr:row>25</xdr:row>
      <xdr:rowOff>33847</xdr:rowOff>
    </xdr:from>
    <xdr:to>
      <xdr:col>22</xdr:col>
      <xdr:colOff>466733</xdr:colOff>
      <xdr:row>27</xdr:row>
      <xdr:rowOff>157729</xdr:rowOff>
    </xdr:to>
    <xdr:sp macro="" textlink="">
      <xdr:nvSpPr>
        <xdr:cNvPr id="18" name="Right Arrow 17"/>
        <xdr:cNvSpPr/>
      </xdr:nvSpPr>
      <xdr:spPr>
        <a:xfrm rot="16200000" flipH="1">
          <a:off x="17054260" y="5867707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21</xdr:col>
      <xdr:colOff>361495</xdr:colOff>
      <xdr:row>25</xdr:row>
      <xdr:rowOff>43373</xdr:rowOff>
    </xdr:from>
    <xdr:to>
      <xdr:col>21</xdr:col>
      <xdr:colOff>561983</xdr:colOff>
      <xdr:row>27</xdr:row>
      <xdr:rowOff>167255</xdr:rowOff>
    </xdr:to>
    <xdr:sp macro="" textlink="">
      <xdr:nvSpPr>
        <xdr:cNvPr id="22" name="Right Arrow 21"/>
        <xdr:cNvSpPr/>
      </xdr:nvSpPr>
      <xdr:spPr>
        <a:xfrm rot="16200000" flipH="1">
          <a:off x="16349410" y="5877233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20</xdr:col>
      <xdr:colOff>342446</xdr:colOff>
      <xdr:row>25</xdr:row>
      <xdr:rowOff>43374</xdr:rowOff>
    </xdr:from>
    <xdr:to>
      <xdr:col>20</xdr:col>
      <xdr:colOff>542934</xdr:colOff>
      <xdr:row>27</xdr:row>
      <xdr:rowOff>167256</xdr:rowOff>
    </xdr:to>
    <xdr:sp macro="" textlink="">
      <xdr:nvSpPr>
        <xdr:cNvPr id="23" name="Right Arrow 22"/>
        <xdr:cNvSpPr/>
      </xdr:nvSpPr>
      <xdr:spPr>
        <a:xfrm rot="16200000" flipH="1">
          <a:off x="15473111" y="5877234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19</xdr:col>
      <xdr:colOff>351972</xdr:colOff>
      <xdr:row>25</xdr:row>
      <xdr:rowOff>43375</xdr:rowOff>
    </xdr:from>
    <xdr:to>
      <xdr:col>19</xdr:col>
      <xdr:colOff>552460</xdr:colOff>
      <xdr:row>27</xdr:row>
      <xdr:rowOff>167257</xdr:rowOff>
    </xdr:to>
    <xdr:sp macro="" textlink="">
      <xdr:nvSpPr>
        <xdr:cNvPr id="24" name="Right Arrow 23"/>
        <xdr:cNvSpPr/>
      </xdr:nvSpPr>
      <xdr:spPr>
        <a:xfrm rot="16200000" flipH="1">
          <a:off x="14644437" y="5877235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18</xdr:col>
      <xdr:colOff>342449</xdr:colOff>
      <xdr:row>25</xdr:row>
      <xdr:rowOff>33852</xdr:rowOff>
    </xdr:from>
    <xdr:to>
      <xdr:col>18</xdr:col>
      <xdr:colOff>542937</xdr:colOff>
      <xdr:row>27</xdr:row>
      <xdr:rowOff>157734</xdr:rowOff>
    </xdr:to>
    <xdr:sp macro="" textlink="">
      <xdr:nvSpPr>
        <xdr:cNvPr id="25" name="Right Arrow 24"/>
        <xdr:cNvSpPr/>
      </xdr:nvSpPr>
      <xdr:spPr>
        <a:xfrm rot="16200000" flipH="1">
          <a:off x="13796714" y="5867712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17</xdr:col>
      <xdr:colOff>342448</xdr:colOff>
      <xdr:row>25</xdr:row>
      <xdr:rowOff>91001</xdr:rowOff>
    </xdr:from>
    <xdr:to>
      <xdr:col>17</xdr:col>
      <xdr:colOff>542936</xdr:colOff>
      <xdr:row>27</xdr:row>
      <xdr:rowOff>214883</xdr:rowOff>
    </xdr:to>
    <xdr:sp macro="" textlink="">
      <xdr:nvSpPr>
        <xdr:cNvPr id="26" name="Right Arrow 25"/>
        <xdr:cNvSpPr/>
      </xdr:nvSpPr>
      <xdr:spPr>
        <a:xfrm rot="16200000" flipH="1">
          <a:off x="12987088" y="5924861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16</xdr:col>
      <xdr:colOff>418650</xdr:colOff>
      <xdr:row>25</xdr:row>
      <xdr:rowOff>81478</xdr:rowOff>
    </xdr:from>
    <xdr:to>
      <xdr:col>16</xdr:col>
      <xdr:colOff>619138</xdr:colOff>
      <xdr:row>27</xdr:row>
      <xdr:rowOff>205360</xdr:rowOff>
    </xdr:to>
    <xdr:sp macro="" textlink="">
      <xdr:nvSpPr>
        <xdr:cNvPr id="27" name="Right Arrow 26"/>
        <xdr:cNvSpPr/>
      </xdr:nvSpPr>
      <xdr:spPr>
        <a:xfrm rot="16200000" flipH="1">
          <a:off x="12139365" y="5915338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15</xdr:col>
      <xdr:colOff>342449</xdr:colOff>
      <xdr:row>25</xdr:row>
      <xdr:rowOff>52902</xdr:rowOff>
    </xdr:from>
    <xdr:to>
      <xdr:col>15</xdr:col>
      <xdr:colOff>542937</xdr:colOff>
      <xdr:row>27</xdr:row>
      <xdr:rowOff>176784</xdr:rowOff>
    </xdr:to>
    <xdr:sp macro="" textlink="">
      <xdr:nvSpPr>
        <xdr:cNvPr id="28" name="Right Arrow 27"/>
        <xdr:cNvSpPr/>
      </xdr:nvSpPr>
      <xdr:spPr>
        <a:xfrm rot="16200000" flipH="1">
          <a:off x="11253539" y="5886762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14</xdr:col>
      <xdr:colOff>304352</xdr:colOff>
      <xdr:row>25</xdr:row>
      <xdr:rowOff>81480</xdr:rowOff>
    </xdr:from>
    <xdr:to>
      <xdr:col>14</xdr:col>
      <xdr:colOff>504840</xdr:colOff>
      <xdr:row>27</xdr:row>
      <xdr:rowOff>205362</xdr:rowOff>
    </xdr:to>
    <xdr:sp macro="" textlink="">
      <xdr:nvSpPr>
        <xdr:cNvPr id="29" name="Right Arrow 28"/>
        <xdr:cNvSpPr/>
      </xdr:nvSpPr>
      <xdr:spPr>
        <a:xfrm rot="16200000" flipH="1">
          <a:off x="10691567" y="6229665"/>
          <a:ext cx="609657" cy="2004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15</xdr:row>
      <xdr:rowOff>186777</xdr:rowOff>
    </xdr:from>
    <xdr:to>
      <xdr:col>11</xdr:col>
      <xdr:colOff>190500</xdr:colOff>
      <xdr:row>45</xdr:row>
      <xdr:rowOff>107878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231" y="4363123"/>
          <a:ext cx="9949961" cy="56361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59</xdr:row>
      <xdr:rowOff>14653</xdr:rowOff>
    </xdr:from>
    <xdr:to>
      <xdr:col>6</xdr:col>
      <xdr:colOff>435710</xdr:colOff>
      <xdr:row>103</xdr:row>
      <xdr:rowOff>124558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12968653"/>
          <a:ext cx="6187345" cy="8491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7"/>
  <sheetViews>
    <sheetView tabSelected="1" topLeftCell="A64" workbookViewId="0">
      <selection activeCell="K75" sqref="K75"/>
    </sheetView>
  </sheetViews>
  <sheetFormatPr defaultRowHeight="15"/>
  <cols>
    <col min="1" max="1" width="4.140625" customWidth="1"/>
    <col min="2" max="2" width="25" customWidth="1"/>
    <col min="3" max="3" width="2.7109375" customWidth="1"/>
    <col min="4" max="8" width="14.7109375" customWidth="1"/>
    <col min="9" max="9" width="14.5703125" customWidth="1"/>
    <col min="10" max="10" width="14" customWidth="1"/>
    <col min="11" max="11" width="12.85546875" customWidth="1"/>
    <col min="12" max="12" width="12.42578125" customWidth="1"/>
    <col min="13" max="13" width="11.85546875" customWidth="1"/>
    <col min="14" max="14" width="12.28515625" customWidth="1"/>
    <col min="15" max="15" width="4.140625" customWidth="1"/>
    <col min="16" max="16" width="12" customWidth="1"/>
    <col min="17" max="17" width="11.7109375" customWidth="1"/>
    <col min="18" max="18" width="12.140625" customWidth="1"/>
    <col min="19" max="19" width="10.5703125" customWidth="1"/>
    <col min="20" max="20" width="11.7109375" customWidth="1"/>
    <col min="21" max="21" width="11.85546875" customWidth="1"/>
    <col min="22" max="22" width="11" customWidth="1"/>
  </cols>
  <sheetData>
    <row r="1" spans="2:10" ht="28.5">
      <c r="B1" s="87" t="s">
        <v>136</v>
      </c>
      <c r="C1" s="87"/>
    </row>
    <row r="2" spans="2:10" ht="28.5">
      <c r="B2" s="87" t="s">
        <v>137</v>
      </c>
      <c r="C2" s="87"/>
    </row>
    <row r="3" spans="2:10" ht="21">
      <c r="B3" s="32" t="s">
        <v>139</v>
      </c>
    </row>
    <row r="4" spans="2:10" ht="15.75" thickBot="1"/>
    <row r="5" spans="2:10" ht="21">
      <c r="B5" s="213" t="s">
        <v>129</v>
      </c>
      <c r="C5" s="215"/>
      <c r="D5" s="48"/>
      <c r="E5" s="48"/>
      <c r="F5" s="48"/>
      <c r="G5" s="48"/>
      <c r="H5" s="48"/>
      <c r="I5" s="48"/>
      <c r="J5" s="204"/>
    </row>
    <row r="6" spans="2:10" ht="8.25" customHeight="1">
      <c r="B6" s="210"/>
      <c r="C6" s="216"/>
      <c r="D6" s="211"/>
      <c r="E6" s="211"/>
      <c r="F6" s="211"/>
      <c r="G6" s="211"/>
      <c r="H6" s="211"/>
      <c r="I6" s="211"/>
      <c r="J6" s="46"/>
    </row>
    <row r="7" spans="2:10" ht="51.75" customHeight="1">
      <c r="B7" s="214"/>
      <c r="C7" s="217"/>
      <c r="D7" s="49" t="s">
        <v>2</v>
      </c>
      <c r="E7" s="50" t="s">
        <v>4</v>
      </c>
      <c r="F7" s="51" t="s">
        <v>15</v>
      </c>
      <c r="G7" s="52" t="s">
        <v>41</v>
      </c>
      <c r="H7" s="52" t="s">
        <v>39</v>
      </c>
      <c r="I7" s="52" t="s">
        <v>38</v>
      </c>
      <c r="J7" s="205" t="s">
        <v>40</v>
      </c>
    </row>
    <row r="8" spans="2:10">
      <c r="B8" s="222" t="s">
        <v>5</v>
      </c>
      <c r="C8" s="218"/>
      <c r="D8" s="61">
        <v>33</v>
      </c>
      <c r="E8" s="62">
        <v>17421</v>
      </c>
      <c r="F8" s="62">
        <v>17421</v>
      </c>
      <c r="G8" s="63">
        <v>5</v>
      </c>
      <c r="H8" s="63">
        <v>6</v>
      </c>
      <c r="I8" s="63">
        <v>6</v>
      </c>
      <c r="J8" s="206">
        <v>6</v>
      </c>
    </row>
    <row r="9" spans="2:10">
      <c r="B9" s="222" t="s">
        <v>6</v>
      </c>
      <c r="C9" s="218"/>
      <c r="D9" s="61">
        <v>140</v>
      </c>
      <c r="E9" s="62">
        <v>267109</v>
      </c>
      <c r="F9" s="62">
        <v>267109</v>
      </c>
      <c r="G9" s="63">
        <v>33</v>
      </c>
      <c r="H9" s="63">
        <v>36</v>
      </c>
      <c r="I9" s="63">
        <v>36</v>
      </c>
      <c r="J9" s="206">
        <v>4</v>
      </c>
    </row>
    <row r="10" spans="2:10">
      <c r="B10" s="222" t="s">
        <v>7</v>
      </c>
      <c r="C10" s="218"/>
      <c r="D10" s="61">
        <v>5183</v>
      </c>
      <c r="E10" s="62">
        <v>1013751</v>
      </c>
      <c r="F10" s="62">
        <v>1013751</v>
      </c>
      <c r="G10" s="63">
        <v>1912</v>
      </c>
      <c r="H10" s="63">
        <v>2072</v>
      </c>
      <c r="I10" s="63">
        <v>2072</v>
      </c>
      <c r="J10" s="206">
        <v>2072</v>
      </c>
    </row>
    <row r="11" spans="2:10">
      <c r="B11" s="222" t="s">
        <v>8</v>
      </c>
      <c r="C11" s="218"/>
      <c r="D11" s="61">
        <v>906</v>
      </c>
      <c r="E11" s="62">
        <v>73544</v>
      </c>
      <c r="F11" s="62">
        <v>73544</v>
      </c>
      <c r="G11" s="63">
        <v>336</v>
      </c>
      <c r="H11" s="63">
        <v>351</v>
      </c>
      <c r="I11" s="63">
        <v>351</v>
      </c>
      <c r="J11" s="206">
        <v>351</v>
      </c>
    </row>
    <row r="12" spans="2:10">
      <c r="B12" s="222" t="s">
        <v>9</v>
      </c>
      <c r="C12" s="218"/>
      <c r="D12" s="61">
        <v>1122</v>
      </c>
      <c r="E12" s="62">
        <v>12957</v>
      </c>
      <c r="F12" s="62">
        <v>12957</v>
      </c>
      <c r="G12" s="63">
        <v>554</v>
      </c>
      <c r="H12" s="63">
        <v>579</v>
      </c>
      <c r="I12" s="63">
        <v>579</v>
      </c>
      <c r="J12" s="206">
        <v>579</v>
      </c>
    </row>
    <row r="13" spans="2:10">
      <c r="B13" s="222" t="s">
        <v>10</v>
      </c>
      <c r="C13" s="218"/>
      <c r="D13" s="61">
        <v>1126</v>
      </c>
      <c r="E13" s="62">
        <v>2911</v>
      </c>
      <c r="F13" s="62">
        <v>2620</v>
      </c>
      <c r="G13" s="63">
        <v>490</v>
      </c>
      <c r="H13" s="63">
        <v>513</v>
      </c>
      <c r="I13" s="63">
        <v>513</v>
      </c>
      <c r="J13" s="206">
        <v>461</v>
      </c>
    </row>
    <row r="14" spans="2:10">
      <c r="B14" s="222" t="s">
        <v>11</v>
      </c>
      <c r="C14" s="218"/>
      <c r="D14" s="61">
        <v>1217</v>
      </c>
      <c r="E14" s="62">
        <v>964</v>
      </c>
      <c r="F14" s="62">
        <v>96</v>
      </c>
      <c r="G14" s="63">
        <v>467</v>
      </c>
      <c r="H14" s="63">
        <v>483</v>
      </c>
      <c r="I14" s="63">
        <v>483</v>
      </c>
      <c r="J14" s="206">
        <v>48</v>
      </c>
    </row>
    <row r="15" spans="2:10">
      <c r="B15" s="222" t="s">
        <v>12</v>
      </c>
      <c r="C15" s="218"/>
      <c r="D15" s="61">
        <v>377</v>
      </c>
      <c r="E15" s="62">
        <v>125</v>
      </c>
      <c r="F15" s="62">
        <v>13</v>
      </c>
      <c r="G15" s="63">
        <v>168</v>
      </c>
      <c r="H15" s="63">
        <v>174</v>
      </c>
      <c r="I15" s="63">
        <v>174</v>
      </c>
      <c r="J15" s="206">
        <v>17</v>
      </c>
    </row>
    <row r="16" spans="2:10">
      <c r="B16" s="222" t="s">
        <v>13</v>
      </c>
      <c r="C16" s="218"/>
      <c r="D16" s="61">
        <v>257</v>
      </c>
      <c r="E16" s="62">
        <v>116</v>
      </c>
      <c r="F16" s="62">
        <v>0</v>
      </c>
      <c r="G16" s="63">
        <v>63</v>
      </c>
      <c r="H16" s="63">
        <v>64</v>
      </c>
      <c r="I16" s="63">
        <v>0</v>
      </c>
      <c r="J16" s="206">
        <v>0</v>
      </c>
    </row>
    <row r="17" spans="2:19">
      <c r="B17" s="222" t="s">
        <v>14</v>
      </c>
      <c r="C17" s="218"/>
      <c r="D17" s="61">
        <v>2837</v>
      </c>
      <c r="E17" s="62">
        <v>316</v>
      </c>
      <c r="F17" s="62">
        <v>0</v>
      </c>
      <c r="G17" s="63">
        <v>844</v>
      </c>
      <c r="H17" s="63">
        <v>862</v>
      </c>
      <c r="I17" s="63">
        <v>0</v>
      </c>
      <c r="J17" s="206">
        <v>0</v>
      </c>
    </row>
    <row r="18" spans="2:19" ht="15.75" thickBot="1">
      <c r="B18" s="223" t="s">
        <v>0</v>
      </c>
      <c r="C18" s="219"/>
      <c r="D18" s="16">
        <f t="shared" ref="D18:J18" si="0">SUM(D8:D17)</f>
        <v>13198</v>
      </c>
      <c r="E18" s="17">
        <f t="shared" si="0"/>
        <v>1389214</v>
      </c>
      <c r="F18" s="17">
        <f t="shared" si="0"/>
        <v>1387511</v>
      </c>
      <c r="G18" s="18">
        <f t="shared" si="0"/>
        <v>4872</v>
      </c>
      <c r="H18" s="18">
        <f t="shared" si="0"/>
        <v>5140</v>
      </c>
      <c r="I18" s="18">
        <f t="shared" si="0"/>
        <v>4214</v>
      </c>
      <c r="J18" s="207">
        <f t="shared" si="0"/>
        <v>3538</v>
      </c>
    </row>
    <row r="19" spans="2:19" s="31" customFormat="1">
      <c r="B19" s="27"/>
      <c r="C19" s="27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29"/>
      <c r="O19" s="29"/>
      <c r="P19" s="29"/>
      <c r="Q19" s="29"/>
      <c r="R19" s="29"/>
      <c r="S19" s="30"/>
    </row>
    <row r="20" spans="2:19" s="31" customFormat="1" ht="15.75" thickBot="1">
      <c r="B20" s="27"/>
      <c r="C20" s="27"/>
      <c r="D20" s="28"/>
      <c r="E20" s="28"/>
      <c r="F20" s="28"/>
      <c r="G20" s="28"/>
      <c r="H20" s="28"/>
      <c r="I20" s="28"/>
      <c r="J20" s="28"/>
      <c r="K20" s="29"/>
      <c r="L20" s="29"/>
      <c r="M20" s="29"/>
      <c r="N20" s="29"/>
      <c r="O20" s="29"/>
      <c r="P20" s="29"/>
      <c r="Q20" s="29"/>
      <c r="R20" s="29"/>
      <c r="S20" s="30"/>
    </row>
    <row r="21" spans="2:19" s="31" customFormat="1" ht="21">
      <c r="B21" s="213" t="s">
        <v>130</v>
      </c>
      <c r="C21" s="215"/>
      <c r="D21" s="48"/>
      <c r="E21" s="48"/>
      <c r="F21" s="48"/>
      <c r="G21" s="48"/>
      <c r="H21" s="48"/>
      <c r="I21" s="48"/>
      <c r="J21" s="48"/>
      <c r="K21" s="48"/>
      <c r="L21" s="41"/>
      <c r="M21" s="29"/>
      <c r="N21" s="29"/>
      <c r="O21" s="29"/>
      <c r="P21" s="29"/>
      <c r="Q21" s="29"/>
      <c r="R21" s="29"/>
      <c r="S21" s="30"/>
    </row>
    <row r="22" spans="2:19" s="31" customFormat="1" ht="6.75" customHeight="1">
      <c r="B22" s="210"/>
      <c r="C22" s="216"/>
      <c r="D22" s="211"/>
      <c r="E22" s="211"/>
      <c r="F22" s="211"/>
      <c r="G22" s="211"/>
      <c r="H22" s="211"/>
      <c r="I22" s="211"/>
      <c r="J22" s="211"/>
      <c r="K22" s="211"/>
      <c r="L22" s="47"/>
      <c r="M22" s="29"/>
      <c r="N22" s="29"/>
      <c r="O22" s="29"/>
      <c r="P22" s="29"/>
      <c r="Q22" s="29"/>
      <c r="R22" s="29"/>
      <c r="S22" s="30"/>
    </row>
    <row r="23" spans="2:19" s="31" customFormat="1" ht="30">
      <c r="B23" s="44"/>
      <c r="C23" s="45"/>
      <c r="D23" s="53" t="s">
        <v>28</v>
      </c>
      <c r="E23" s="53" t="s">
        <v>27</v>
      </c>
      <c r="F23" s="54" t="s">
        <v>29</v>
      </c>
      <c r="G23" s="54" t="s">
        <v>30</v>
      </c>
      <c r="H23" s="55" t="s">
        <v>31</v>
      </c>
      <c r="I23" s="56" t="s">
        <v>32</v>
      </c>
      <c r="J23" s="57" t="s">
        <v>33</v>
      </c>
      <c r="K23" s="58" t="s">
        <v>34</v>
      </c>
      <c r="L23" s="59" t="s">
        <v>35</v>
      </c>
      <c r="M23" s="29"/>
      <c r="N23" s="29"/>
      <c r="O23" s="29"/>
      <c r="P23" s="29"/>
      <c r="Q23" s="29"/>
      <c r="R23" s="29"/>
      <c r="S23" s="30"/>
    </row>
    <row r="24" spans="2:19" s="31" customFormat="1">
      <c r="B24" s="60" t="s">
        <v>5</v>
      </c>
      <c r="C24" s="220"/>
      <c r="D24" s="64">
        <v>2.1</v>
      </c>
      <c r="E24" s="64">
        <v>0.4</v>
      </c>
      <c r="F24" s="65">
        <v>1.4</v>
      </c>
      <c r="G24" s="65">
        <v>0.3</v>
      </c>
      <c r="H24" s="66">
        <v>0.2</v>
      </c>
      <c r="I24" s="45">
        <v>0</v>
      </c>
      <c r="J24" s="67">
        <v>0</v>
      </c>
      <c r="K24" s="68">
        <v>0.6</v>
      </c>
      <c r="L24" s="69">
        <f t="shared" ref="L24:L33" si="1">SUM(D24:K24)</f>
        <v>5</v>
      </c>
      <c r="M24" s="29"/>
      <c r="N24" s="29"/>
      <c r="O24" s="29"/>
      <c r="P24" s="29"/>
      <c r="Q24" s="29"/>
      <c r="R24" s="29"/>
      <c r="S24" s="30"/>
    </row>
    <row r="25" spans="2:19" s="31" customFormat="1">
      <c r="B25" s="60" t="s">
        <v>6</v>
      </c>
      <c r="C25" s="220"/>
      <c r="D25" s="64">
        <v>3.7</v>
      </c>
      <c r="E25" s="64">
        <v>2.5</v>
      </c>
      <c r="F25" s="65">
        <v>2.1</v>
      </c>
      <c r="G25" s="65">
        <v>0.2</v>
      </c>
      <c r="H25" s="66">
        <v>1.3</v>
      </c>
      <c r="I25" s="45">
        <v>28.1</v>
      </c>
      <c r="J25" s="67">
        <v>0</v>
      </c>
      <c r="K25" s="68">
        <v>1.9</v>
      </c>
      <c r="L25" s="69">
        <f t="shared" si="1"/>
        <v>39.800000000000004</v>
      </c>
      <c r="M25" s="29"/>
      <c r="N25" s="29"/>
      <c r="O25" s="29"/>
      <c r="P25" s="29"/>
      <c r="Q25" s="29"/>
      <c r="R25" s="29"/>
      <c r="S25" s="30"/>
    </row>
    <row r="26" spans="2:19" s="31" customFormat="1">
      <c r="B26" s="60" t="s">
        <v>7</v>
      </c>
      <c r="C26" s="220"/>
      <c r="D26" s="70">
        <v>134.1</v>
      </c>
      <c r="E26" s="70">
        <v>143.19999999999999</v>
      </c>
      <c r="F26" s="71">
        <v>80.099999999999994</v>
      </c>
      <c r="G26" s="71">
        <v>110.6</v>
      </c>
      <c r="H26" s="72">
        <v>75.5</v>
      </c>
      <c r="I26" s="73">
        <v>0</v>
      </c>
      <c r="J26" s="74">
        <v>51.3</v>
      </c>
      <c r="K26" s="75">
        <v>97.7</v>
      </c>
      <c r="L26" s="69">
        <f t="shared" si="1"/>
        <v>692.5</v>
      </c>
      <c r="M26" s="29"/>
      <c r="N26" s="29"/>
      <c r="O26" s="29"/>
      <c r="P26" s="29"/>
      <c r="Q26" s="29"/>
      <c r="R26" s="29"/>
      <c r="S26" s="30"/>
    </row>
    <row r="27" spans="2:19" s="31" customFormat="1">
      <c r="B27" s="60" t="s">
        <v>8</v>
      </c>
      <c r="C27" s="220"/>
      <c r="D27" s="76">
        <v>13.6</v>
      </c>
      <c r="E27" s="76">
        <v>26.6</v>
      </c>
      <c r="F27" s="77">
        <v>6</v>
      </c>
      <c r="G27" s="77">
        <v>18.7</v>
      </c>
      <c r="H27" s="78">
        <v>13.4</v>
      </c>
      <c r="I27" s="79">
        <v>0</v>
      </c>
      <c r="J27" s="80">
        <v>7.4</v>
      </c>
      <c r="K27" s="81">
        <v>14.5</v>
      </c>
      <c r="L27" s="69">
        <f t="shared" si="1"/>
        <v>100.20000000000002</v>
      </c>
      <c r="M27" s="29"/>
      <c r="N27" s="29"/>
      <c r="O27" s="29"/>
      <c r="P27" s="29"/>
      <c r="Q27" s="29"/>
      <c r="R27" s="29"/>
      <c r="S27" s="30"/>
    </row>
    <row r="28" spans="2:19" s="31" customFormat="1">
      <c r="B28" s="60" t="s">
        <v>9</v>
      </c>
      <c r="C28" s="220"/>
      <c r="D28" s="76">
        <v>2.2000000000000002</v>
      </c>
      <c r="E28" s="76">
        <v>44.8</v>
      </c>
      <c r="F28" s="77">
        <v>1.1000000000000001</v>
      </c>
      <c r="G28" s="77">
        <v>31</v>
      </c>
      <c r="H28" s="78">
        <v>22.5</v>
      </c>
      <c r="I28" s="79">
        <v>0</v>
      </c>
      <c r="J28" s="80">
        <v>4.0999999999999996</v>
      </c>
      <c r="K28" s="81">
        <v>21</v>
      </c>
      <c r="L28" s="69">
        <f t="shared" si="1"/>
        <v>126.69999999999999</v>
      </c>
      <c r="M28" s="29"/>
      <c r="N28" s="29"/>
      <c r="O28" s="29"/>
      <c r="P28" s="29"/>
      <c r="Q28" s="29"/>
      <c r="R28" s="29"/>
      <c r="S28" s="30"/>
    </row>
    <row r="29" spans="2:19" s="31" customFormat="1">
      <c r="B29" s="60" t="s">
        <v>10</v>
      </c>
      <c r="C29" s="220"/>
      <c r="D29" s="76">
        <v>0.5</v>
      </c>
      <c r="E29" s="76">
        <v>38.799999999999997</v>
      </c>
      <c r="F29" s="77">
        <v>0.2</v>
      </c>
      <c r="G29" s="77">
        <v>24.6</v>
      </c>
      <c r="H29" s="78">
        <v>19.7</v>
      </c>
      <c r="I29" s="79">
        <v>0</v>
      </c>
      <c r="J29" s="80">
        <v>2.4</v>
      </c>
      <c r="K29" s="81">
        <v>18.399999999999999</v>
      </c>
      <c r="L29" s="69">
        <f t="shared" si="1"/>
        <v>104.6</v>
      </c>
      <c r="M29" s="29"/>
      <c r="N29" s="29"/>
      <c r="O29" s="29"/>
      <c r="P29" s="29"/>
      <c r="Q29" s="29"/>
      <c r="R29" s="29"/>
      <c r="S29" s="30"/>
    </row>
    <row r="30" spans="2:19" s="31" customFormat="1">
      <c r="B30" s="60" t="s">
        <v>11</v>
      </c>
      <c r="C30" s="220"/>
      <c r="D30" s="76">
        <v>0.2</v>
      </c>
      <c r="E30" s="76">
        <v>33.799999999999997</v>
      </c>
      <c r="F30" s="77">
        <v>0</v>
      </c>
      <c r="G30" s="77">
        <v>2.6</v>
      </c>
      <c r="H30" s="78">
        <v>17.8</v>
      </c>
      <c r="I30" s="79">
        <v>0</v>
      </c>
      <c r="J30" s="80">
        <v>1.2</v>
      </c>
      <c r="K30" s="81">
        <v>17.5</v>
      </c>
      <c r="L30" s="69">
        <f t="shared" si="1"/>
        <v>73.100000000000009</v>
      </c>
      <c r="M30" s="29"/>
      <c r="N30" s="29"/>
      <c r="O30" s="29"/>
      <c r="P30" s="29"/>
      <c r="Q30" s="29"/>
      <c r="R30" s="29"/>
      <c r="S30" s="30"/>
    </row>
    <row r="31" spans="2:19" s="31" customFormat="1">
      <c r="B31" s="60" t="s">
        <v>12</v>
      </c>
      <c r="C31" s="220"/>
      <c r="D31" s="76">
        <v>3.7</v>
      </c>
      <c r="E31" s="76">
        <v>14.8</v>
      </c>
      <c r="F31" s="77">
        <v>0</v>
      </c>
      <c r="G31" s="77">
        <v>0.9</v>
      </c>
      <c r="H31" s="78">
        <v>6.7</v>
      </c>
      <c r="I31" s="79">
        <v>0</v>
      </c>
      <c r="J31" s="80">
        <v>0.2</v>
      </c>
      <c r="K31" s="81">
        <v>2.2999999999999998</v>
      </c>
      <c r="L31" s="69">
        <f t="shared" si="1"/>
        <v>28.599999999999998</v>
      </c>
      <c r="M31" s="29"/>
      <c r="N31" s="29"/>
      <c r="O31" s="29"/>
      <c r="P31" s="29"/>
      <c r="Q31" s="29"/>
      <c r="R31" s="29"/>
      <c r="S31" s="30"/>
    </row>
    <row r="32" spans="2:19" s="31" customFormat="1">
      <c r="B32" s="60" t="s">
        <v>13</v>
      </c>
      <c r="C32" s="220"/>
      <c r="D32" s="76">
        <v>0</v>
      </c>
      <c r="E32" s="76">
        <v>4.0999999999999996</v>
      </c>
      <c r="F32" s="77">
        <v>0</v>
      </c>
      <c r="G32" s="77">
        <v>0</v>
      </c>
      <c r="H32" s="78">
        <v>0</v>
      </c>
      <c r="I32" s="79">
        <v>0</v>
      </c>
      <c r="J32" s="80">
        <v>0.4</v>
      </c>
      <c r="K32" s="81">
        <v>2.4</v>
      </c>
      <c r="L32" s="69">
        <f t="shared" si="1"/>
        <v>6.9</v>
      </c>
      <c r="M32" s="29"/>
      <c r="N32" s="29"/>
      <c r="O32" s="29"/>
      <c r="P32" s="29"/>
      <c r="Q32" s="29"/>
      <c r="R32" s="29"/>
      <c r="S32" s="30"/>
    </row>
    <row r="33" spans="1:22" s="31" customFormat="1">
      <c r="B33" s="60" t="s">
        <v>14</v>
      </c>
      <c r="C33" s="220"/>
      <c r="D33" s="76">
        <v>21.6</v>
      </c>
      <c r="E33" s="76">
        <v>38.200000000000003</v>
      </c>
      <c r="F33" s="77">
        <v>0</v>
      </c>
      <c r="G33" s="77">
        <v>0</v>
      </c>
      <c r="H33" s="78">
        <v>0</v>
      </c>
      <c r="I33" s="79">
        <v>0</v>
      </c>
      <c r="J33" s="80">
        <v>1.2</v>
      </c>
      <c r="K33" s="81">
        <v>6</v>
      </c>
      <c r="L33" s="69">
        <f t="shared" si="1"/>
        <v>67</v>
      </c>
      <c r="M33" s="29"/>
      <c r="N33" s="29"/>
      <c r="O33" s="29"/>
      <c r="P33" s="29"/>
      <c r="Q33" s="29"/>
      <c r="R33" s="29"/>
      <c r="S33" s="30"/>
    </row>
    <row r="34" spans="1:22" s="31" customFormat="1" ht="15.75" thickBot="1">
      <c r="B34" s="82" t="s">
        <v>0</v>
      </c>
      <c r="C34" s="14"/>
      <c r="D34" s="19">
        <f t="shared" ref="D34:K34" si="2">SUM(D24:D33)</f>
        <v>181.69999999999996</v>
      </c>
      <c r="E34" s="19">
        <f t="shared" si="2"/>
        <v>347.20000000000005</v>
      </c>
      <c r="F34" s="20">
        <f t="shared" si="2"/>
        <v>90.899999999999991</v>
      </c>
      <c r="G34" s="20">
        <f t="shared" si="2"/>
        <v>188.89999999999998</v>
      </c>
      <c r="H34" s="21">
        <f t="shared" si="2"/>
        <v>157.1</v>
      </c>
      <c r="I34" s="22">
        <f t="shared" si="2"/>
        <v>28.1</v>
      </c>
      <c r="J34" s="23">
        <f t="shared" si="2"/>
        <v>68.200000000000017</v>
      </c>
      <c r="K34" s="24">
        <f t="shared" si="2"/>
        <v>182.3</v>
      </c>
      <c r="L34" s="83">
        <f>SUM(D34:K34)</f>
        <v>1244.3999999999999</v>
      </c>
      <c r="M34" s="29"/>
      <c r="N34" s="29"/>
      <c r="O34" s="29"/>
      <c r="P34" s="29"/>
      <c r="Q34" s="29"/>
      <c r="R34" s="29"/>
      <c r="S34" s="30"/>
    </row>
    <row r="35" spans="1:22" s="31" customFormat="1">
      <c r="B35" s="27"/>
      <c r="C35" s="27"/>
      <c r="D35" s="29"/>
      <c r="E35" s="29"/>
      <c r="F35" s="29"/>
      <c r="G35" s="29"/>
      <c r="H35" s="29"/>
      <c r="I35" s="29"/>
      <c r="J35" s="29"/>
      <c r="K35" s="29"/>
      <c r="L35" s="30"/>
      <c r="M35" s="29"/>
      <c r="N35" s="29"/>
      <c r="O35" s="29"/>
      <c r="P35" s="29"/>
      <c r="Q35" s="29"/>
      <c r="R35" s="29"/>
      <c r="S35" s="30"/>
    </row>
    <row r="36" spans="1:22" s="31" customFormat="1">
      <c r="B36" s="27"/>
      <c r="C36" s="27"/>
      <c r="D36" s="29"/>
      <c r="E36" s="29"/>
      <c r="F36" s="29"/>
      <c r="G36" s="29"/>
      <c r="H36" s="29"/>
      <c r="I36" s="29"/>
      <c r="J36" s="29"/>
      <c r="K36" s="29"/>
      <c r="L36" s="30"/>
      <c r="M36" s="29"/>
      <c r="N36" s="29"/>
      <c r="O36" s="29"/>
      <c r="P36" s="29"/>
      <c r="Q36" s="29"/>
      <c r="R36" s="29"/>
      <c r="S36" s="30"/>
    </row>
    <row r="37" spans="1:22" s="31" customFormat="1" ht="15.75" thickBot="1">
      <c r="B37" s="27"/>
      <c r="C37" s="27"/>
      <c r="D37" s="28"/>
      <c r="E37" s="28"/>
      <c r="F37" s="28"/>
      <c r="G37" s="28"/>
      <c r="H37" s="28"/>
      <c r="I37" s="28"/>
      <c r="J37" s="28"/>
      <c r="K37" s="29"/>
      <c r="L37" s="29"/>
      <c r="M37" s="29"/>
      <c r="N37" s="29"/>
      <c r="O37" s="29"/>
      <c r="P37" s="29"/>
      <c r="Q37" s="29"/>
      <c r="R37" s="29"/>
      <c r="S37" s="30"/>
    </row>
    <row r="38" spans="1:22" s="31" customFormat="1" ht="21">
      <c r="B38" s="213" t="s">
        <v>131</v>
      </c>
      <c r="C38" s="221"/>
      <c r="D38" s="178"/>
      <c r="E38" s="178"/>
      <c r="F38" s="178"/>
      <c r="G38" s="178"/>
      <c r="H38" s="178"/>
      <c r="I38" s="178"/>
      <c r="J38" s="178"/>
      <c r="K38" s="200"/>
      <c r="L38" s="29"/>
      <c r="M38" s="29"/>
      <c r="N38" s="29"/>
      <c r="O38" s="29"/>
      <c r="P38" s="29"/>
      <c r="Q38" s="29"/>
      <c r="R38" s="29"/>
      <c r="S38" s="30"/>
    </row>
    <row r="39" spans="1:22" s="31" customFormat="1" ht="21">
      <c r="B39" s="227"/>
      <c r="C39" s="225"/>
      <c r="D39" s="28"/>
      <c r="E39" s="28"/>
      <c r="F39" s="28"/>
      <c r="G39" s="28"/>
      <c r="H39" s="28"/>
      <c r="I39" s="28"/>
      <c r="J39" s="28"/>
      <c r="K39" s="226"/>
      <c r="L39" s="29"/>
      <c r="M39" s="29"/>
      <c r="N39" s="29"/>
      <c r="O39" s="29"/>
      <c r="P39" s="29"/>
      <c r="Q39" s="29"/>
      <c r="R39" s="29"/>
      <c r="S39" s="30"/>
    </row>
    <row r="40" spans="1:22" s="31" customFormat="1" ht="45">
      <c r="B40" s="44"/>
      <c r="C40" s="45"/>
      <c r="D40" s="53" t="s">
        <v>21</v>
      </c>
      <c r="E40" s="53" t="s">
        <v>127</v>
      </c>
      <c r="F40" s="54" t="s">
        <v>22</v>
      </c>
      <c r="G40" s="54" t="s">
        <v>124</v>
      </c>
      <c r="H40" s="55" t="s">
        <v>125</v>
      </c>
      <c r="I40" s="56" t="s">
        <v>25</v>
      </c>
      <c r="J40" s="57" t="s">
        <v>23</v>
      </c>
      <c r="K40" s="201" t="s">
        <v>126</v>
      </c>
      <c r="L40" s="29"/>
      <c r="M40" s="9" t="s">
        <v>101</v>
      </c>
      <c r="N40" s="10" t="s">
        <v>128</v>
      </c>
      <c r="O40"/>
      <c r="P40" s="7" t="s">
        <v>4</v>
      </c>
      <c r="Q40" s="5" t="s">
        <v>1</v>
      </c>
      <c r="R40" s="4" t="s">
        <v>26</v>
      </c>
      <c r="S40"/>
      <c r="T40" s="9" t="s">
        <v>103</v>
      </c>
      <c r="U40" s="10" t="s">
        <v>102</v>
      </c>
      <c r="V40" s="34" t="s">
        <v>36</v>
      </c>
    </row>
    <row r="41" spans="1:22" s="31" customFormat="1">
      <c r="B41" s="60" t="s">
        <v>5</v>
      </c>
      <c r="C41" s="220"/>
      <c r="D41" s="198">
        <f t="shared" ref="D41:D51" si="3">D24/E8*1000000</f>
        <v>120.54417082831065</v>
      </c>
      <c r="E41" s="198">
        <f t="shared" ref="E41:E51" si="4">E24/G8*1000</f>
        <v>80</v>
      </c>
      <c r="F41" s="198">
        <f t="shared" ref="F41:F48" si="5">F24/F8*1000000</f>
        <v>80.362780552207099</v>
      </c>
      <c r="G41" s="198">
        <f t="shared" ref="G41:G51" si="6">G24/G8*1000</f>
        <v>60</v>
      </c>
      <c r="H41" s="198">
        <f t="shared" ref="H41:H51" si="7">H24/G8*1000</f>
        <v>40</v>
      </c>
      <c r="I41" s="198">
        <f t="shared" ref="I41:I48" si="8">I24/F8*1000000</f>
        <v>0</v>
      </c>
      <c r="J41" s="95"/>
      <c r="K41" s="202">
        <f t="shared" ref="K41:K51" si="9">K24/G8*1000</f>
        <v>120</v>
      </c>
      <c r="L41" s="29"/>
      <c r="M41" s="25">
        <f>D41+F41+I41+J41</f>
        <v>200.90695138051774</v>
      </c>
      <c r="N41" s="25">
        <f>E41+G41+H41+K41</f>
        <v>300</v>
      </c>
      <c r="O41"/>
      <c r="P41" s="8">
        <v>17421</v>
      </c>
      <c r="Q41" s="6">
        <v>5</v>
      </c>
      <c r="R41" s="37">
        <f>Q41*100000/P41</f>
        <v>28.700993054359682</v>
      </c>
      <c r="S41"/>
      <c r="T41" s="33">
        <f t="shared" ref="T41:T50" si="10">M41*P41/1000000</f>
        <v>3.4999999999999996</v>
      </c>
      <c r="U41" s="33">
        <f t="shared" ref="U41:U50" si="11">N41*Q41/1000</f>
        <v>1.5</v>
      </c>
      <c r="V41" s="35">
        <f>T41+U41</f>
        <v>5</v>
      </c>
    </row>
    <row r="42" spans="1:22" s="31" customFormat="1">
      <c r="B42" s="60" t="s">
        <v>6</v>
      </c>
      <c r="C42" s="220"/>
      <c r="D42" s="198">
        <f t="shared" si="3"/>
        <v>13.852022956920209</v>
      </c>
      <c r="E42" s="198">
        <f t="shared" si="4"/>
        <v>75.757575757575765</v>
      </c>
      <c r="F42" s="198">
        <f t="shared" si="5"/>
        <v>7.8619589755493076</v>
      </c>
      <c r="G42" s="198">
        <f t="shared" si="6"/>
        <v>6.0606060606060606</v>
      </c>
      <c r="H42" s="198">
        <f t="shared" si="7"/>
        <v>39.393939393939398</v>
      </c>
      <c r="I42" s="198">
        <f t="shared" si="8"/>
        <v>105.20049867282646</v>
      </c>
      <c r="J42" s="198">
        <f t="shared" ref="J42:J51" si="12">J25/E9*1000000</f>
        <v>0</v>
      </c>
      <c r="K42" s="202">
        <f t="shared" si="9"/>
        <v>57.575757575757571</v>
      </c>
      <c r="L42" s="29"/>
      <c r="M42" s="25">
        <f t="shared" ref="M42:M51" si="13">D42+F42+I42+J42</f>
        <v>126.91448060529598</v>
      </c>
      <c r="N42" s="25">
        <f t="shared" ref="N42:N51" si="14">E42+G42+H42+K42</f>
        <v>178.78787878787878</v>
      </c>
      <c r="O42"/>
      <c r="P42" s="8">
        <v>267109</v>
      </c>
      <c r="Q42" s="6">
        <v>33</v>
      </c>
      <c r="R42" s="37">
        <f t="shared" ref="R42" si="15">Q42*100000/P42</f>
        <v>12.354506961577483</v>
      </c>
      <c r="S42"/>
      <c r="T42" s="33">
        <f t="shared" si="10"/>
        <v>33.9</v>
      </c>
      <c r="U42" s="33">
        <f t="shared" si="11"/>
        <v>5.9</v>
      </c>
      <c r="V42" s="35">
        <f t="shared" ref="V42:V50" si="16">T42+U42</f>
        <v>39.799999999999997</v>
      </c>
    </row>
    <row r="43" spans="1:22" s="31" customFormat="1">
      <c r="B43" s="60" t="s">
        <v>7</v>
      </c>
      <c r="C43" s="220"/>
      <c r="D43" s="198">
        <f t="shared" si="3"/>
        <v>132.28100391516259</v>
      </c>
      <c r="E43" s="198">
        <f t="shared" si="4"/>
        <v>74.895397489539747</v>
      </c>
      <c r="F43" s="198">
        <f t="shared" si="5"/>
        <v>79.013485560063558</v>
      </c>
      <c r="G43" s="198">
        <f t="shared" si="6"/>
        <v>57.845188284518827</v>
      </c>
      <c r="H43" s="198">
        <f t="shared" si="7"/>
        <v>39.487447698744774</v>
      </c>
      <c r="I43" s="198">
        <f t="shared" si="8"/>
        <v>0</v>
      </c>
      <c r="J43" s="198">
        <f t="shared" si="12"/>
        <v>50.604142437344073</v>
      </c>
      <c r="K43" s="202">
        <f t="shared" si="9"/>
        <v>51.098326359832633</v>
      </c>
      <c r="L43" s="29"/>
      <c r="M43" s="25">
        <f t="shared" si="13"/>
        <v>261.89863191257024</v>
      </c>
      <c r="N43" s="25">
        <f t="shared" si="14"/>
        <v>223.32635983263597</v>
      </c>
      <c r="O43"/>
      <c r="P43" s="8">
        <v>1013751</v>
      </c>
      <c r="Q43" s="6">
        <v>1912</v>
      </c>
      <c r="R43" s="38">
        <f>Q43*1000/P43</f>
        <v>1.8860647239805435</v>
      </c>
      <c r="S43"/>
      <c r="T43" s="33">
        <f t="shared" si="10"/>
        <v>265.5</v>
      </c>
      <c r="U43" s="33">
        <f t="shared" si="11"/>
        <v>427</v>
      </c>
      <c r="V43" s="35">
        <f t="shared" si="16"/>
        <v>692.5</v>
      </c>
    </row>
    <row r="44" spans="1:22" s="31" customFormat="1">
      <c r="B44" s="60" t="s">
        <v>8</v>
      </c>
      <c r="C44" s="220"/>
      <c r="D44" s="198">
        <f t="shared" si="3"/>
        <v>184.92331121505492</v>
      </c>
      <c r="E44" s="198">
        <f t="shared" si="4"/>
        <v>79.166666666666671</v>
      </c>
      <c r="F44" s="198">
        <f t="shared" si="5"/>
        <v>81.583813771347764</v>
      </c>
      <c r="G44" s="198">
        <f t="shared" si="6"/>
        <v>55.654761904761898</v>
      </c>
      <c r="H44" s="198">
        <f t="shared" si="7"/>
        <v>39.880952380952387</v>
      </c>
      <c r="I44" s="198">
        <f t="shared" si="8"/>
        <v>0</v>
      </c>
      <c r="J44" s="198">
        <f t="shared" si="12"/>
        <v>100.62003698466225</v>
      </c>
      <c r="K44" s="202">
        <f t="shared" si="9"/>
        <v>43.154761904761905</v>
      </c>
      <c r="L44" s="29"/>
      <c r="M44" s="25">
        <f t="shared" si="13"/>
        <v>367.12716197106494</v>
      </c>
      <c r="N44" s="25">
        <f t="shared" si="14"/>
        <v>217.85714285714283</v>
      </c>
      <c r="O44"/>
      <c r="P44" s="8">
        <v>73544</v>
      </c>
      <c r="Q44" s="6">
        <v>336</v>
      </c>
      <c r="R44" s="38">
        <f t="shared" ref="R44:R51" si="17">Q44*1000/P44</f>
        <v>4.5686935711954746</v>
      </c>
      <c r="S44"/>
      <c r="T44" s="33">
        <f t="shared" si="10"/>
        <v>27</v>
      </c>
      <c r="U44" s="33">
        <f t="shared" si="11"/>
        <v>73.199999999999989</v>
      </c>
      <c r="V44" s="35">
        <f t="shared" si="16"/>
        <v>100.19999999999999</v>
      </c>
    </row>
    <row r="45" spans="1:22" s="31" customFormat="1">
      <c r="A45"/>
      <c r="B45" s="60" t="s">
        <v>9</v>
      </c>
      <c r="C45" s="220"/>
      <c r="D45" s="198">
        <f t="shared" si="3"/>
        <v>169.79239021378407</v>
      </c>
      <c r="E45" s="198">
        <f t="shared" si="4"/>
        <v>80.866425992779781</v>
      </c>
      <c r="F45" s="198">
        <f t="shared" si="5"/>
        <v>84.896195106892037</v>
      </c>
      <c r="G45" s="198">
        <f t="shared" si="6"/>
        <v>55.95667870036101</v>
      </c>
      <c r="H45" s="198">
        <f t="shared" si="7"/>
        <v>40.613718411552348</v>
      </c>
      <c r="I45" s="198">
        <f t="shared" si="8"/>
        <v>0</v>
      </c>
      <c r="J45" s="198">
        <f t="shared" si="12"/>
        <v>316.43127267114301</v>
      </c>
      <c r="K45" s="202">
        <f t="shared" si="9"/>
        <v>37.906137184115522</v>
      </c>
      <c r="L45"/>
      <c r="M45" s="25">
        <f t="shared" si="13"/>
        <v>571.11985799181912</v>
      </c>
      <c r="N45" s="25">
        <f t="shared" si="14"/>
        <v>215.34296028880868</v>
      </c>
      <c r="O45"/>
      <c r="P45" s="8">
        <v>12957</v>
      </c>
      <c r="Q45" s="6">
        <v>554</v>
      </c>
      <c r="R45" s="38">
        <f t="shared" si="17"/>
        <v>42.756810990198346</v>
      </c>
      <c r="S45"/>
      <c r="T45" s="33">
        <f t="shared" si="10"/>
        <v>7.4</v>
      </c>
      <c r="U45" s="33">
        <f t="shared" si="11"/>
        <v>119.30000000000001</v>
      </c>
      <c r="V45" s="35">
        <f t="shared" si="16"/>
        <v>126.70000000000002</v>
      </c>
    </row>
    <row r="46" spans="1:22" s="31" customFormat="1">
      <c r="A46"/>
      <c r="B46" s="60" t="s">
        <v>10</v>
      </c>
      <c r="C46" s="220"/>
      <c r="D46" s="198">
        <f t="shared" si="3"/>
        <v>171.76228100309172</v>
      </c>
      <c r="E46" s="198">
        <f t="shared" si="4"/>
        <v>79.183673469387742</v>
      </c>
      <c r="F46" s="198">
        <f t="shared" si="5"/>
        <v>76.335877862595424</v>
      </c>
      <c r="G46" s="198">
        <f t="shared" si="6"/>
        <v>50.204081632653065</v>
      </c>
      <c r="H46" s="198">
        <f t="shared" si="7"/>
        <v>40.204081632653057</v>
      </c>
      <c r="I46" s="198">
        <f t="shared" si="8"/>
        <v>0</v>
      </c>
      <c r="J46" s="198">
        <f t="shared" si="12"/>
        <v>824.45894881484026</v>
      </c>
      <c r="K46" s="202">
        <f t="shared" si="9"/>
        <v>37.551020408163268</v>
      </c>
      <c r="L46"/>
      <c r="M46" s="25">
        <f t="shared" si="13"/>
        <v>1072.5571076805275</v>
      </c>
      <c r="N46" s="25">
        <f t="shared" si="14"/>
        <v>207.14285714285711</v>
      </c>
      <c r="O46"/>
      <c r="P46" s="8">
        <v>2911</v>
      </c>
      <c r="Q46" s="6">
        <v>490</v>
      </c>
      <c r="R46" s="38">
        <f t="shared" si="17"/>
        <v>168.32703538302988</v>
      </c>
      <c r="S46"/>
      <c r="T46" s="33">
        <f t="shared" si="10"/>
        <v>3.1222137404580153</v>
      </c>
      <c r="U46" s="33">
        <f t="shared" si="11"/>
        <v>101.49999999999999</v>
      </c>
      <c r="V46" s="35">
        <f t="shared" si="16"/>
        <v>104.62221374045799</v>
      </c>
    </row>
    <row r="47" spans="1:22" s="31" customFormat="1">
      <c r="A47"/>
      <c r="B47" s="60" t="s">
        <v>11</v>
      </c>
      <c r="C47" s="220"/>
      <c r="D47" s="198">
        <f t="shared" si="3"/>
        <v>207.46887966804982</v>
      </c>
      <c r="E47" s="198">
        <f t="shared" si="4"/>
        <v>72.376873661670231</v>
      </c>
      <c r="F47" s="198">
        <f t="shared" si="5"/>
        <v>0</v>
      </c>
      <c r="G47" s="198">
        <f t="shared" si="6"/>
        <v>5.5674518201284799</v>
      </c>
      <c r="H47" s="198">
        <f t="shared" si="7"/>
        <v>38.115631691648822</v>
      </c>
      <c r="I47" s="198">
        <f t="shared" si="8"/>
        <v>0</v>
      </c>
      <c r="J47" s="198">
        <f t="shared" si="12"/>
        <v>1244.8132780082988</v>
      </c>
      <c r="K47" s="202">
        <f t="shared" si="9"/>
        <v>37.473233404710918</v>
      </c>
      <c r="L47"/>
      <c r="M47" s="25">
        <f t="shared" si="13"/>
        <v>1452.2821576763486</v>
      </c>
      <c r="N47" s="25">
        <f t="shared" si="14"/>
        <v>153.53319057815847</v>
      </c>
      <c r="O47"/>
      <c r="P47" s="8">
        <v>964</v>
      </c>
      <c r="Q47" s="6">
        <v>467</v>
      </c>
      <c r="R47" s="38">
        <f t="shared" si="17"/>
        <v>484.43983402489624</v>
      </c>
      <c r="S47"/>
      <c r="T47" s="33">
        <f t="shared" si="10"/>
        <v>1.4</v>
      </c>
      <c r="U47" s="33">
        <f t="shared" si="11"/>
        <v>71.7</v>
      </c>
      <c r="V47" s="35">
        <f t="shared" si="16"/>
        <v>73.100000000000009</v>
      </c>
    </row>
    <row r="48" spans="1:22" s="31" customFormat="1">
      <c r="A48"/>
      <c r="B48" s="60" t="s">
        <v>12</v>
      </c>
      <c r="C48" s="220"/>
      <c r="D48" s="199">
        <f t="shared" si="3"/>
        <v>29600</v>
      </c>
      <c r="E48" s="198">
        <f t="shared" si="4"/>
        <v>88.095238095238102</v>
      </c>
      <c r="F48" s="198">
        <f t="shared" si="5"/>
        <v>0</v>
      </c>
      <c r="G48" s="198">
        <f t="shared" si="6"/>
        <v>5.3571428571428568</v>
      </c>
      <c r="H48" s="198">
        <f t="shared" si="7"/>
        <v>39.880952380952387</v>
      </c>
      <c r="I48" s="198">
        <f t="shared" si="8"/>
        <v>0</v>
      </c>
      <c r="J48" s="198">
        <f t="shared" si="12"/>
        <v>1600</v>
      </c>
      <c r="K48" s="202">
        <f t="shared" si="9"/>
        <v>13.690476190476188</v>
      </c>
      <c r="L48"/>
      <c r="M48" s="25">
        <f t="shared" si="13"/>
        <v>31200</v>
      </c>
      <c r="N48" s="25">
        <f t="shared" si="14"/>
        <v>147.02380952380952</v>
      </c>
      <c r="O48"/>
      <c r="P48" s="8">
        <v>125</v>
      </c>
      <c r="Q48" s="6">
        <v>168</v>
      </c>
      <c r="R48" s="38">
        <f t="shared" si="17"/>
        <v>1344</v>
      </c>
      <c r="S48"/>
      <c r="T48" s="33">
        <f t="shared" si="10"/>
        <v>3.9</v>
      </c>
      <c r="U48" s="33">
        <f t="shared" si="11"/>
        <v>24.7</v>
      </c>
      <c r="V48" s="35">
        <f t="shared" si="16"/>
        <v>28.599999999999998</v>
      </c>
    </row>
    <row r="49" spans="1:22" s="31" customFormat="1">
      <c r="A49"/>
      <c r="B49" s="60" t="s">
        <v>13</v>
      </c>
      <c r="C49" s="220"/>
      <c r="D49" s="198">
        <f t="shared" si="3"/>
        <v>0</v>
      </c>
      <c r="E49" s="198">
        <f t="shared" si="4"/>
        <v>65.079365079365076</v>
      </c>
      <c r="F49" s="198">
        <v>0</v>
      </c>
      <c r="G49" s="198">
        <f t="shared" si="6"/>
        <v>0</v>
      </c>
      <c r="H49" s="198">
        <f t="shared" si="7"/>
        <v>0</v>
      </c>
      <c r="I49" s="198">
        <v>0</v>
      </c>
      <c r="J49" s="198">
        <f t="shared" si="12"/>
        <v>3448.275862068966</v>
      </c>
      <c r="K49" s="202">
        <f t="shared" si="9"/>
        <v>38.095238095238095</v>
      </c>
      <c r="L49"/>
      <c r="M49" s="25">
        <f t="shared" si="13"/>
        <v>3448.275862068966</v>
      </c>
      <c r="N49" s="25">
        <f t="shared" si="14"/>
        <v>103.17460317460316</v>
      </c>
      <c r="O49"/>
      <c r="P49" s="8">
        <v>116</v>
      </c>
      <c r="Q49" s="6">
        <v>63</v>
      </c>
      <c r="R49" s="38">
        <f t="shared" si="17"/>
        <v>543.10344827586209</v>
      </c>
      <c r="S49"/>
      <c r="T49" s="33">
        <f t="shared" si="10"/>
        <v>0.40000000000000008</v>
      </c>
      <c r="U49" s="33">
        <f t="shared" si="11"/>
        <v>6.4999999999999991</v>
      </c>
      <c r="V49" s="35">
        <f t="shared" si="16"/>
        <v>6.8999999999999995</v>
      </c>
    </row>
    <row r="50" spans="1:22" s="31" customFormat="1">
      <c r="A50"/>
      <c r="B50" s="60" t="s">
        <v>14</v>
      </c>
      <c r="C50" s="220"/>
      <c r="D50" s="199">
        <f t="shared" si="3"/>
        <v>68354.430379746846</v>
      </c>
      <c r="E50" s="198">
        <f t="shared" si="4"/>
        <v>45.260663507109008</v>
      </c>
      <c r="F50" s="198">
        <v>0</v>
      </c>
      <c r="G50" s="198">
        <f t="shared" si="6"/>
        <v>0</v>
      </c>
      <c r="H50" s="198">
        <f t="shared" si="7"/>
        <v>0</v>
      </c>
      <c r="I50" s="198">
        <v>0</v>
      </c>
      <c r="J50" s="198">
        <f t="shared" si="12"/>
        <v>3797.4683544303798</v>
      </c>
      <c r="K50" s="202">
        <f t="shared" si="9"/>
        <v>7.1090047393364921</v>
      </c>
      <c r="L50"/>
      <c r="M50" s="25">
        <f t="shared" si="13"/>
        <v>72151.89873417723</v>
      </c>
      <c r="N50" s="25">
        <f t="shared" si="14"/>
        <v>52.369668246445499</v>
      </c>
      <c r="O50"/>
      <c r="P50" s="8">
        <v>316</v>
      </c>
      <c r="Q50" s="6">
        <v>844</v>
      </c>
      <c r="R50" s="38">
        <f t="shared" si="17"/>
        <v>2670.8860759493673</v>
      </c>
      <c r="S50"/>
      <c r="T50" s="33">
        <f t="shared" si="10"/>
        <v>22.800000000000004</v>
      </c>
      <c r="U50" s="33">
        <f t="shared" si="11"/>
        <v>44.2</v>
      </c>
      <c r="V50" s="35">
        <f t="shared" si="16"/>
        <v>67</v>
      </c>
    </row>
    <row r="51" spans="1:22" s="31" customFormat="1" ht="15.75" thickBot="1">
      <c r="A51"/>
      <c r="B51" s="82" t="s">
        <v>24</v>
      </c>
      <c r="C51" s="14"/>
      <c r="D51" s="15">
        <f t="shared" si="3"/>
        <v>130.79338388470023</v>
      </c>
      <c r="E51" s="13">
        <f t="shared" si="4"/>
        <v>71.264367816091962</v>
      </c>
      <c r="F51" s="13">
        <f>F34/F18*1000000</f>
        <v>65.512994131217681</v>
      </c>
      <c r="G51" s="13">
        <f t="shared" si="6"/>
        <v>38.772577996715924</v>
      </c>
      <c r="H51" s="13">
        <f t="shared" si="7"/>
        <v>32.245484400656814</v>
      </c>
      <c r="I51" s="13">
        <f>I34/F18*1000000</f>
        <v>20.252091695128904</v>
      </c>
      <c r="J51" s="13">
        <f t="shared" si="12"/>
        <v>49.092508425627742</v>
      </c>
      <c r="K51" s="203">
        <f t="shared" si="9"/>
        <v>37.417898193760266</v>
      </c>
      <c r="L51"/>
      <c r="M51" s="26">
        <f t="shared" si="13"/>
        <v>265.65097813667455</v>
      </c>
      <c r="N51" s="26">
        <f t="shared" si="14"/>
        <v>179.70032840722496</v>
      </c>
      <c r="O51"/>
      <c r="P51" s="17">
        <f>SUM(P41:P50)</f>
        <v>1389214</v>
      </c>
      <c r="Q51" s="18">
        <f>SUM(Q41:Q50)</f>
        <v>4872</v>
      </c>
      <c r="R51" s="39">
        <f t="shared" si="17"/>
        <v>3.507019076974462</v>
      </c>
      <c r="S51"/>
      <c r="T51" s="36">
        <f>SUM(T41:T50)</f>
        <v>368.92221374045789</v>
      </c>
      <c r="U51" s="36">
        <f t="shared" ref="U51:V51" si="18">SUM(U41:U50)</f>
        <v>875.50000000000011</v>
      </c>
      <c r="V51" s="85">
        <f t="shared" si="18"/>
        <v>1244.4222137404579</v>
      </c>
    </row>
    <row r="52" spans="1:22" s="31" customForma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 s="86" t="s">
        <v>42</v>
      </c>
    </row>
    <row r="53" spans="1:22" s="31" customFormat="1" ht="15.75" thickBot="1">
      <c r="B53" s="27"/>
      <c r="C53" s="27"/>
      <c r="D53" s="29"/>
      <c r="E53" s="29"/>
      <c r="F53" s="29"/>
      <c r="G53" s="29"/>
      <c r="H53" s="29"/>
      <c r="I53" s="29"/>
      <c r="J53" s="29"/>
      <c r="K53" s="29"/>
      <c r="L53" s="30"/>
      <c r="M53" s="29"/>
      <c r="N53" s="29"/>
      <c r="O53" s="29"/>
      <c r="P53" s="29"/>
      <c r="Q53" s="29"/>
      <c r="R53" s="29"/>
      <c r="S53" s="30"/>
    </row>
    <row r="54" spans="1:22" s="31" customFormat="1" ht="21">
      <c r="B54" s="213" t="s">
        <v>132</v>
      </c>
      <c r="C54" s="221"/>
      <c r="D54" s="178"/>
      <c r="E54" s="178"/>
      <c r="F54" s="178"/>
      <c r="G54" s="178"/>
      <c r="H54" s="178"/>
      <c r="I54" s="178"/>
      <c r="J54" s="178"/>
      <c r="K54" s="200"/>
      <c r="L54"/>
      <c r="M54"/>
      <c r="N54"/>
      <c r="O54"/>
      <c r="P54"/>
      <c r="Q54"/>
      <c r="R54"/>
      <c r="S54"/>
      <c r="T54"/>
      <c r="U54"/>
      <c r="V54"/>
    </row>
    <row r="55" spans="1:22" s="31" customFormat="1" ht="9.75" customHeight="1">
      <c r="B55" s="224"/>
      <c r="C55" s="225"/>
      <c r="D55" s="28"/>
      <c r="E55" s="28"/>
      <c r="F55" s="28"/>
      <c r="G55" s="28"/>
      <c r="H55" s="28"/>
      <c r="I55" s="28"/>
      <c r="J55" s="28"/>
      <c r="K55" s="226"/>
      <c r="L55"/>
      <c r="M55"/>
      <c r="N55"/>
      <c r="O55"/>
      <c r="P55"/>
      <c r="Q55"/>
      <c r="R55"/>
      <c r="S55"/>
      <c r="T55"/>
      <c r="U55"/>
      <c r="V55"/>
    </row>
    <row r="56" spans="1:22" s="31" customFormat="1" ht="45">
      <c r="B56" s="44"/>
      <c r="C56" s="45"/>
      <c r="D56" s="53" t="s">
        <v>21</v>
      </c>
      <c r="E56" s="53" t="s">
        <v>97</v>
      </c>
      <c r="F56" s="54" t="s">
        <v>22</v>
      </c>
      <c r="G56" s="54" t="s">
        <v>98</v>
      </c>
      <c r="H56" s="55" t="s">
        <v>99</v>
      </c>
      <c r="I56" s="56" t="s">
        <v>81</v>
      </c>
      <c r="J56" s="57" t="s">
        <v>23</v>
      </c>
      <c r="K56" s="201" t="s">
        <v>100</v>
      </c>
      <c r="L56"/>
      <c r="M56" s="9" t="s">
        <v>101</v>
      </c>
      <c r="N56" s="10" t="s">
        <v>134</v>
      </c>
      <c r="O56"/>
      <c r="P56" s="7" t="s">
        <v>4</v>
      </c>
      <c r="Q56" s="49" t="s">
        <v>2</v>
      </c>
      <c r="R56" s="240" t="s">
        <v>104</v>
      </c>
      <c r="S56"/>
      <c r="T56" s="9" t="s">
        <v>103</v>
      </c>
      <c r="U56" s="10" t="s">
        <v>102</v>
      </c>
      <c r="V56" s="34" t="s">
        <v>36</v>
      </c>
    </row>
    <row r="57" spans="1:22" s="31" customFormat="1">
      <c r="B57" s="60" t="s">
        <v>5</v>
      </c>
      <c r="C57" s="220"/>
      <c r="D57" s="198">
        <f t="shared" ref="D57:D67" si="19">D24/E8*1000000</f>
        <v>120.54417082831065</v>
      </c>
      <c r="E57" s="412">
        <f t="shared" ref="E57:E67" si="20">E24*100/D8</f>
        <v>1.2121212121212122</v>
      </c>
      <c r="F57" s="198">
        <f t="shared" ref="F57:F64" si="21">F24/F8*1000000</f>
        <v>80.362780552207099</v>
      </c>
      <c r="G57" s="412">
        <f t="shared" ref="G57:G67" si="22">G24*100/D8</f>
        <v>0.90909090909090906</v>
      </c>
      <c r="H57" s="412">
        <f t="shared" ref="H57:H67" si="23">H24*100/D8</f>
        <v>0.60606060606060608</v>
      </c>
      <c r="I57" s="198">
        <f t="shared" ref="I57:I64" si="24">I24/F8*1000000</f>
        <v>0</v>
      </c>
      <c r="J57" s="198">
        <f t="shared" ref="J57:J67" si="25">J24/E8*1000000</f>
        <v>0</v>
      </c>
      <c r="K57" s="413">
        <f t="shared" ref="K57:K67" si="26">K24*100/D8</f>
        <v>1.8181818181818181</v>
      </c>
      <c r="L57"/>
      <c r="M57" s="25">
        <f>D57+F57+I57+J57</f>
        <v>200.90695138051774</v>
      </c>
      <c r="N57" s="208">
        <f>E57+G57+H57+K57</f>
        <v>4.545454545454545</v>
      </c>
      <c r="O57"/>
      <c r="P57" s="8">
        <v>17421</v>
      </c>
      <c r="Q57" s="61">
        <v>33</v>
      </c>
      <c r="R57" s="241">
        <f>Q57*100000/P57</f>
        <v>189.42655415877388</v>
      </c>
      <c r="S57"/>
      <c r="T57" s="33">
        <f>M57*P57/1000000</f>
        <v>3.4999999999999996</v>
      </c>
      <c r="U57" s="33">
        <f>N57*Q57/100</f>
        <v>1.4999999999999998</v>
      </c>
      <c r="V57" s="35">
        <f>T57+U57</f>
        <v>4.9999999999999991</v>
      </c>
    </row>
    <row r="58" spans="1:22" s="31" customFormat="1">
      <c r="B58" s="60" t="s">
        <v>6</v>
      </c>
      <c r="C58" s="220"/>
      <c r="D58" s="198">
        <f t="shared" si="19"/>
        <v>13.852022956920209</v>
      </c>
      <c r="E58" s="412">
        <f t="shared" si="20"/>
        <v>1.7857142857142858</v>
      </c>
      <c r="F58" s="198">
        <f t="shared" si="21"/>
        <v>7.8619589755493076</v>
      </c>
      <c r="G58" s="412">
        <f t="shared" si="22"/>
        <v>0.14285714285714285</v>
      </c>
      <c r="H58" s="412">
        <f t="shared" si="23"/>
        <v>0.9285714285714286</v>
      </c>
      <c r="I58" s="198">
        <f t="shared" si="24"/>
        <v>105.20049867282646</v>
      </c>
      <c r="J58" s="198">
        <f t="shared" si="25"/>
        <v>0</v>
      </c>
      <c r="K58" s="413">
        <f t="shared" si="26"/>
        <v>1.3571428571428572</v>
      </c>
      <c r="L58"/>
      <c r="M58" s="25">
        <f t="shared" ref="M58:M67" si="27">D58+F58+I58+J58</f>
        <v>126.91448060529598</v>
      </c>
      <c r="N58" s="208">
        <f t="shared" ref="N58:N67" si="28">E58+G58+H58+K58</f>
        <v>4.2142857142857144</v>
      </c>
      <c r="O58"/>
      <c r="P58" s="8">
        <v>267109</v>
      </c>
      <c r="Q58" s="61">
        <v>140</v>
      </c>
      <c r="R58" s="241">
        <f t="shared" ref="R58" si="29">Q58*100000/P58</f>
        <v>52.413059836995387</v>
      </c>
      <c r="S58"/>
      <c r="T58" s="33">
        <f t="shared" ref="T58:T67" si="30">M58*P58/1000000</f>
        <v>33.9</v>
      </c>
      <c r="U58" s="33">
        <f t="shared" ref="U58:U67" si="31">N58*Q58/100</f>
        <v>5.9</v>
      </c>
      <c r="V58" s="35">
        <f t="shared" ref="V58:V66" si="32">T58+U58</f>
        <v>39.799999999999997</v>
      </c>
    </row>
    <row r="59" spans="1:22" s="31" customFormat="1">
      <c r="B59" s="60" t="s">
        <v>7</v>
      </c>
      <c r="C59" s="220"/>
      <c r="D59" s="198">
        <f t="shared" si="19"/>
        <v>132.28100391516259</v>
      </c>
      <c r="E59" s="412">
        <f t="shared" si="20"/>
        <v>2.7628786417132929</v>
      </c>
      <c r="F59" s="198">
        <f t="shared" si="21"/>
        <v>79.013485560063558</v>
      </c>
      <c r="G59" s="412">
        <f t="shared" si="22"/>
        <v>2.1338992861277251</v>
      </c>
      <c r="H59" s="412">
        <f t="shared" si="23"/>
        <v>1.4566853173837546</v>
      </c>
      <c r="I59" s="198">
        <f t="shared" si="24"/>
        <v>0</v>
      </c>
      <c r="J59" s="198">
        <f t="shared" si="25"/>
        <v>50.604142437344073</v>
      </c>
      <c r="K59" s="413">
        <f t="shared" si="26"/>
        <v>1.8850086822303684</v>
      </c>
      <c r="L59"/>
      <c r="M59" s="25">
        <f t="shared" si="27"/>
        <v>261.89863191257024</v>
      </c>
      <c r="N59" s="208">
        <f t="shared" si="28"/>
        <v>8.2384719274551426</v>
      </c>
      <c r="O59"/>
      <c r="P59" s="8">
        <v>1013751</v>
      </c>
      <c r="Q59" s="61">
        <v>5183</v>
      </c>
      <c r="R59" s="242">
        <f>Q59*1000/P59</f>
        <v>5.1126953265644124</v>
      </c>
      <c r="S59"/>
      <c r="T59" s="33">
        <f t="shared" si="30"/>
        <v>265.5</v>
      </c>
      <c r="U59" s="33">
        <f t="shared" si="31"/>
        <v>427.00000000000006</v>
      </c>
      <c r="V59" s="35">
        <f t="shared" si="32"/>
        <v>692.5</v>
      </c>
    </row>
    <row r="60" spans="1:22" s="31" customFormat="1">
      <c r="B60" s="60" t="s">
        <v>8</v>
      </c>
      <c r="C60" s="220"/>
      <c r="D60" s="198">
        <f t="shared" si="19"/>
        <v>184.92331121505492</v>
      </c>
      <c r="E60" s="412">
        <f t="shared" si="20"/>
        <v>2.9359823399558498</v>
      </c>
      <c r="F60" s="198">
        <f t="shared" si="21"/>
        <v>81.583813771347764</v>
      </c>
      <c r="G60" s="412">
        <f t="shared" si="22"/>
        <v>2.0640176600441502</v>
      </c>
      <c r="H60" s="412">
        <f t="shared" si="23"/>
        <v>1.4790286975717439</v>
      </c>
      <c r="I60" s="198">
        <f t="shared" si="24"/>
        <v>0</v>
      </c>
      <c r="J60" s="198">
        <f t="shared" si="25"/>
        <v>100.62003698466225</v>
      </c>
      <c r="K60" s="413">
        <f t="shared" si="26"/>
        <v>1.6004415011037527</v>
      </c>
      <c r="L60"/>
      <c r="M60" s="25">
        <f t="shared" si="27"/>
        <v>367.12716197106494</v>
      </c>
      <c r="N60" s="208">
        <f t="shared" si="28"/>
        <v>8.0794701986754962</v>
      </c>
      <c r="O60"/>
      <c r="P60" s="8">
        <v>73544</v>
      </c>
      <c r="Q60" s="61">
        <v>906</v>
      </c>
      <c r="R60" s="242">
        <f t="shared" ref="R60:R67" si="33">Q60*1000/P60</f>
        <v>12.319155879473513</v>
      </c>
      <c r="S60"/>
      <c r="T60" s="33">
        <f t="shared" si="30"/>
        <v>27</v>
      </c>
      <c r="U60" s="33">
        <f t="shared" si="31"/>
        <v>73.2</v>
      </c>
      <c r="V60" s="35">
        <f t="shared" si="32"/>
        <v>100.2</v>
      </c>
    </row>
    <row r="61" spans="1:22" s="31" customFormat="1">
      <c r="B61" s="60" t="s">
        <v>9</v>
      </c>
      <c r="C61" s="220"/>
      <c r="D61" s="198">
        <f t="shared" si="19"/>
        <v>169.79239021378407</v>
      </c>
      <c r="E61" s="412">
        <f t="shared" si="20"/>
        <v>3.9928698752228162</v>
      </c>
      <c r="F61" s="198">
        <f t="shared" si="21"/>
        <v>84.896195106892037</v>
      </c>
      <c r="G61" s="412">
        <f t="shared" si="22"/>
        <v>2.7629233511586451</v>
      </c>
      <c r="H61" s="412">
        <f t="shared" si="23"/>
        <v>2.0053475935828877</v>
      </c>
      <c r="I61" s="198">
        <f t="shared" si="24"/>
        <v>0</v>
      </c>
      <c r="J61" s="198">
        <f t="shared" si="25"/>
        <v>316.43127267114301</v>
      </c>
      <c r="K61" s="413">
        <f t="shared" si="26"/>
        <v>1.8716577540106951</v>
      </c>
      <c r="L61"/>
      <c r="M61" s="25">
        <f t="shared" si="27"/>
        <v>571.11985799181912</v>
      </c>
      <c r="N61" s="208">
        <f t="shared" si="28"/>
        <v>10.632798573975045</v>
      </c>
      <c r="O61"/>
      <c r="P61" s="8">
        <v>12957</v>
      </c>
      <c r="Q61" s="61">
        <v>1122</v>
      </c>
      <c r="R61" s="242">
        <f t="shared" si="33"/>
        <v>86.594119009029868</v>
      </c>
      <c r="S61"/>
      <c r="T61" s="33">
        <f t="shared" si="30"/>
        <v>7.4</v>
      </c>
      <c r="U61" s="33">
        <f t="shared" si="31"/>
        <v>119.3</v>
      </c>
      <c r="V61" s="35">
        <f t="shared" si="32"/>
        <v>126.7</v>
      </c>
    </row>
    <row r="62" spans="1:22" s="31" customFormat="1">
      <c r="B62" s="60" t="s">
        <v>10</v>
      </c>
      <c r="C62" s="220"/>
      <c r="D62" s="198">
        <f t="shared" si="19"/>
        <v>171.76228100309172</v>
      </c>
      <c r="E62" s="412">
        <f t="shared" si="20"/>
        <v>3.44582593250444</v>
      </c>
      <c r="F62" s="198">
        <f t="shared" si="21"/>
        <v>76.335877862595424</v>
      </c>
      <c r="G62" s="412">
        <f t="shared" si="22"/>
        <v>2.1847246891651864</v>
      </c>
      <c r="H62" s="412">
        <f t="shared" si="23"/>
        <v>1.7495559502664297</v>
      </c>
      <c r="I62" s="198">
        <f t="shared" si="24"/>
        <v>0</v>
      </c>
      <c r="J62" s="198">
        <f t="shared" si="25"/>
        <v>824.45894881484026</v>
      </c>
      <c r="K62" s="413">
        <f t="shared" si="26"/>
        <v>1.634103019538188</v>
      </c>
      <c r="L62"/>
      <c r="M62" s="25">
        <f t="shared" si="27"/>
        <v>1072.5571076805275</v>
      </c>
      <c r="N62" s="208">
        <f t="shared" si="28"/>
        <v>9.0142095914742448</v>
      </c>
      <c r="O62"/>
      <c r="P62" s="8">
        <v>2911</v>
      </c>
      <c r="Q62" s="61">
        <v>1126</v>
      </c>
      <c r="R62" s="242">
        <f t="shared" si="33"/>
        <v>386.80865681896256</v>
      </c>
      <c r="S62"/>
      <c r="T62" s="33">
        <f t="shared" si="30"/>
        <v>3.1222137404580153</v>
      </c>
      <c r="U62" s="33">
        <f t="shared" si="31"/>
        <v>101.5</v>
      </c>
      <c r="V62" s="35">
        <f t="shared" si="32"/>
        <v>104.62221374045802</v>
      </c>
    </row>
    <row r="63" spans="1:22" s="31" customFormat="1">
      <c r="B63" s="60" t="s">
        <v>11</v>
      </c>
      <c r="C63" s="220"/>
      <c r="D63" s="198">
        <f t="shared" si="19"/>
        <v>207.46887966804982</v>
      </c>
      <c r="E63" s="412">
        <f t="shared" si="20"/>
        <v>2.7773212818405915</v>
      </c>
      <c r="F63" s="198">
        <f t="shared" si="21"/>
        <v>0</v>
      </c>
      <c r="G63" s="412">
        <f t="shared" si="22"/>
        <v>0.21364009860312244</v>
      </c>
      <c r="H63" s="412">
        <f t="shared" si="23"/>
        <v>1.4626129827444536</v>
      </c>
      <c r="I63" s="198">
        <f t="shared" si="24"/>
        <v>0</v>
      </c>
      <c r="J63" s="198">
        <f t="shared" si="25"/>
        <v>1244.8132780082988</v>
      </c>
      <c r="K63" s="413">
        <f t="shared" si="26"/>
        <v>1.4379622021364009</v>
      </c>
      <c r="L63"/>
      <c r="M63" s="25">
        <f t="shared" si="27"/>
        <v>1452.2821576763486</v>
      </c>
      <c r="N63" s="208">
        <f t="shared" si="28"/>
        <v>5.8915365653245679</v>
      </c>
      <c r="O63"/>
      <c r="P63" s="8">
        <v>964</v>
      </c>
      <c r="Q63" s="61">
        <v>1217</v>
      </c>
      <c r="R63" s="242">
        <f t="shared" si="33"/>
        <v>1262.4481327800829</v>
      </c>
      <c r="S63"/>
      <c r="T63" s="33">
        <f t="shared" si="30"/>
        <v>1.4</v>
      </c>
      <c r="U63" s="33">
        <f t="shared" si="31"/>
        <v>71.699999999999989</v>
      </c>
      <c r="V63" s="35">
        <f t="shared" si="32"/>
        <v>73.099999999999994</v>
      </c>
    </row>
    <row r="64" spans="1:22" s="31" customFormat="1">
      <c r="B64" s="60" t="s">
        <v>12</v>
      </c>
      <c r="C64" s="220"/>
      <c r="D64" s="198">
        <f t="shared" si="19"/>
        <v>29600</v>
      </c>
      <c r="E64" s="412">
        <f t="shared" si="20"/>
        <v>3.9257294429708223</v>
      </c>
      <c r="F64" s="198">
        <f t="shared" si="21"/>
        <v>0</v>
      </c>
      <c r="G64" s="412">
        <f t="shared" si="22"/>
        <v>0.23872679045092837</v>
      </c>
      <c r="H64" s="412">
        <f t="shared" si="23"/>
        <v>1.7771883289124668</v>
      </c>
      <c r="I64" s="198">
        <f t="shared" si="24"/>
        <v>0</v>
      </c>
      <c r="J64" s="198">
        <f t="shared" si="25"/>
        <v>1600</v>
      </c>
      <c r="K64" s="413">
        <f t="shared" si="26"/>
        <v>0.61007957559681691</v>
      </c>
      <c r="L64"/>
      <c r="M64" s="25">
        <f t="shared" si="27"/>
        <v>31200</v>
      </c>
      <c r="N64" s="208">
        <f t="shared" si="28"/>
        <v>6.5517241379310347</v>
      </c>
      <c r="O64"/>
      <c r="P64" s="8">
        <v>125</v>
      </c>
      <c r="Q64" s="61">
        <v>377</v>
      </c>
      <c r="R64" s="242">
        <f t="shared" si="33"/>
        <v>3016</v>
      </c>
      <c r="S64"/>
      <c r="T64" s="33">
        <f t="shared" si="30"/>
        <v>3.9</v>
      </c>
      <c r="U64" s="33">
        <f t="shared" si="31"/>
        <v>24.7</v>
      </c>
      <c r="V64" s="35">
        <f t="shared" si="32"/>
        <v>28.599999999999998</v>
      </c>
    </row>
    <row r="65" spans="2:22" s="31" customFormat="1">
      <c r="B65" s="60" t="s">
        <v>13</v>
      </c>
      <c r="C65" s="220"/>
      <c r="D65" s="198">
        <f t="shared" si="19"/>
        <v>0</v>
      </c>
      <c r="E65" s="412">
        <f t="shared" si="20"/>
        <v>1.5953307392996108</v>
      </c>
      <c r="F65" s="198">
        <v>0</v>
      </c>
      <c r="G65" s="412">
        <f t="shared" si="22"/>
        <v>0</v>
      </c>
      <c r="H65" s="412">
        <f t="shared" si="23"/>
        <v>0</v>
      </c>
      <c r="I65" s="198">
        <v>0</v>
      </c>
      <c r="J65" s="198">
        <f t="shared" si="25"/>
        <v>3448.275862068966</v>
      </c>
      <c r="K65" s="413">
        <f t="shared" si="26"/>
        <v>0.93385214007782102</v>
      </c>
      <c r="L65"/>
      <c r="M65" s="25">
        <f t="shared" si="27"/>
        <v>3448.275862068966</v>
      </c>
      <c r="N65" s="208">
        <f t="shared" si="28"/>
        <v>2.5291828793774318</v>
      </c>
      <c r="O65"/>
      <c r="P65" s="8">
        <v>116</v>
      </c>
      <c r="Q65" s="61">
        <v>257</v>
      </c>
      <c r="R65" s="242">
        <f t="shared" si="33"/>
        <v>2215.5172413793102</v>
      </c>
      <c r="S65"/>
      <c r="T65" s="33">
        <f t="shared" si="30"/>
        <v>0.40000000000000008</v>
      </c>
      <c r="U65" s="33">
        <f t="shared" si="31"/>
        <v>6.5</v>
      </c>
      <c r="V65" s="35">
        <f t="shared" si="32"/>
        <v>6.9</v>
      </c>
    </row>
    <row r="66" spans="2:22" s="31" customFormat="1">
      <c r="B66" s="60" t="s">
        <v>14</v>
      </c>
      <c r="C66" s="220"/>
      <c r="D66" s="198">
        <f t="shared" si="19"/>
        <v>68354.430379746846</v>
      </c>
      <c r="E66" s="412">
        <f t="shared" si="20"/>
        <v>1.3464927740571027</v>
      </c>
      <c r="F66" s="198">
        <v>0</v>
      </c>
      <c r="G66" s="412">
        <f t="shared" si="22"/>
        <v>0</v>
      </c>
      <c r="H66" s="412">
        <f t="shared" si="23"/>
        <v>0</v>
      </c>
      <c r="I66" s="198">
        <v>0</v>
      </c>
      <c r="J66" s="198">
        <f t="shared" si="25"/>
        <v>3797.4683544303798</v>
      </c>
      <c r="K66" s="413">
        <f t="shared" si="26"/>
        <v>0.21149101163200565</v>
      </c>
      <c r="L66"/>
      <c r="M66" s="25">
        <f t="shared" si="27"/>
        <v>72151.89873417723</v>
      </c>
      <c r="N66" s="208">
        <f t="shared" si="28"/>
        <v>1.5579837856891083</v>
      </c>
      <c r="O66"/>
      <c r="P66" s="8">
        <v>316</v>
      </c>
      <c r="Q66" s="61">
        <v>2837</v>
      </c>
      <c r="R66" s="242">
        <f t="shared" si="33"/>
        <v>8977.8481012658231</v>
      </c>
      <c r="S66"/>
      <c r="T66" s="33">
        <f t="shared" si="30"/>
        <v>22.800000000000004</v>
      </c>
      <c r="U66" s="33">
        <f t="shared" si="31"/>
        <v>44.2</v>
      </c>
      <c r="V66" s="35">
        <f t="shared" si="32"/>
        <v>67</v>
      </c>
    </row>
    <row r="67" spans="2:22" s="31" customFormat="1" ht="15.75" thickBot="1">
      <c r="B67" s="82" t="s">
        <v>24</v>
      </c>
      <c r="C67" s="14"/>
      <c r="D67" s="13">
        <f t="shared" si="19"/>
        <v>130.79338388470023</v>
      </c>
      <c r="E67" s="209">
        <f t="shared" si="20"/>
        <v>2.6307016214577974</v>
      </c>
      <c r="F67" s="13">
        <f>F34/F18*1000000</f>
        <v>65.512994131217681</v>
      </c>
      <c r="G67" s="209">
        <f t="shared" si="22"/>
        <v>1.4312774662827699</v>
      </c>
      <c r="H67" s="209">
        <f t="shared" si="23"/>
        <v>1.1903318684649189</v>
      </c>
      <c r="I67" s="13">
        <f>I34/F18*1000000</f>
        <v>20.252091695128904</v>
      </c>
      <c r="J67" s="13">
        <f t="shared" si="25"/>
        <v>49.092508425627742</v>
      </c>
      <c r="K67" s="414">
        <f t="shared" si="26"/>
        <v>1.3812698893771784</v>
      </c>
      <c r="L67"/>
      <c r="M67" s="26">
        <f t="shared" si="27"/>
        <v>265.65097813667455</v>
      </c>
      <c r="N67" s="209">
        <f t="shared" si="28"/>
        <v>6.6335808455826655</v>
      </c>
      <c r="O67"/>
      <c r="P67" s="17">
        <f>SUM(P57:P66)</f>
        <v>1389214</v>
      </c>
      <c r="Q67" s="16">
        <f t="shared" ref="Q67" si="34">SUM(Q57:Q66)</f>
        <v>13198</v>
      </c>
      <c r="R67" s="243">
        <f t="shared" si="33"/>
        <v>9.5003361613113597</v>
      </c>
      <c r="S67"/>
      <c r="T67" s="33">
        <f t="shared" si="30"/>
        <v>369.04605794116225</v>
      </c>
      <c r="U67" s="33">
        <f t="shared" si="31"/>
        <v>875.50000000000011</v>
      </c>
      <c r="V67" s="85">
        <f t="shared" ref="V67" si="35">SUM(V57:V66)</f>
        <v>1244.4222137404579</v>
      </c>
    </row>
    <row r="68" spans="2:22" s="31" customFormat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 s="86" t="s">
        <v>42</v>
      </c>
    </row>
    <row r="69" spans="2:22" ht="15.75" thickBot="1"/>
    <row r="70" spans="2:22" ht="23.25">
      <c r="B70" s="389" t="s">
        <v>213</v>
      </c>
      <c r="C70" s="40"/>
      <c r="D70" s="40"/>
      <c r="E70" s="233"/>
      <c r="F70" s="40"/>
      <c r="G70" s="40"/>
      <c r="H70" s="41"/>
      <c r="I70" s="45"/>
      <c r="M70" s="86"/>
    </row>
    <row r="71" spans="2:22" ht="23.25">
      <c r="B71" s="399" t="s">
        <v>212</v>
      </c>
      <c r="C71" s="45"/>
      <c r="D71" s="45"/>
      <c r="E71" s="231"/>
      <c r="F71" s="45"/>
      <c r="G71" s="45"/>
      <c r="H71" s="47"/>
      <c r="I71" s="45"/>
      <c r="M71" s="86"/>
    </row>
    <row r="72" spans="2:22" ht="18.75">
      <c r="B72" s="372" t="s">
        <v>135</v>
      </c>
      <c r="C72" s="45"/>
      <c r="D72" s="45"/>
      <c r="E72" s="231"/>
      <c r="F72" s="45"/>
      <c r="G72" s="45"/>
      <c r="H72" s="47"/>
      <c r="I72" s="45"/>
      <c r="M72" s="86"/>
    </row>
    <row r="73" spans="2:22" ht="13.5" customHeight="1">
      <c r="B73" s="372"/>
      <c r="C73" s="45"/>
      <c r="D73" s="231"/>
      <c r="E73" s="231"/>
      <c r="F73" s="45"/>
      <c r="G73" s="45"/>
      <c r="H73" s="47"/>
      <c r="I73" s="45"/>
      <c r="M73" s="86"/>
    </row>
    <row r="74" spans="2:22" ht="21">
      <c r="B74" s="44"/>
      <c r="C74" s="45"/>
      <c r="D74" s="403" t="s">
        <v>138</v>
      </c>
      <c r="E74" s="45"/>
      <c r="F74" s="45"/>
      <c r="G74" s="447" t="s">
        <v>214</v>
      </c>
      <c r="H74" s="47"/>
      <c r="M74" s="86"/>
    </row>
    <row r="75" spans="2:22" ht="21">
      <c r="B75" s="44"/>
      <c r="C75" s="45"/>
      <c r="D75" s="403" t="s">
        <v>195</v>
      </c>
      <c r="E75" s="45"/>
      <c r="F75" s="45"/>
      <c r="G75" s="403" t="s">
        <v>194</v>
      </c>
      <c r="H75" s="47"/>
      <c r="M75" s="86"/>
    </row>
    <row r="76" spans="2:22" ht="47.25" customHeight="1">
      <c r="B76" s="390" t="s">
        <v>133</v>
      </c>
      <c r="C76" s="45"/>
      <c r="D76" s="400" t="str">
        <f t="shared" ref="D76:D87" si="36">M40</f>
        <v>Dist Total Fixed  $/Cust/yr</v>
      </c>
      <c r="E76" s="401" t="str">
        <f t="shared" ref="E76:E87" si="37">N40</f>
        <v>Dist Total Variable $/kVA/yr</v>
      </c>
      <c r="F76" s="45"/>
      <c r="G76" s="400" t="str">
        <f t="shared" ref="G76:G87" si="38">M56</f>
        <v>Dist Total Fixed  $/Cust/yr</v>
      </c>
      <c r="H76" s="402" t="str">
        <f t="shared" ref="H76:H87" si="39">N56</f>
        <v>Dist Total Variable Cents/kWh</v>
      </c>
      <c r="M76" s="86"/>
    </row>
    <row r="77" spans="2:22" ht="15.75">
      <c r="B77" s="117" t="s">
        <v>5</v>
      </c>
      <c r="C77" s="45"/>
      <c r="D77" s="392">
        <f t="shared" si="36"/>
        <v>200.90695138051774</v>
      </c>
      <c r="E77" s="392">
        <f t="shared" si="37"/>
        <v>300</v>
      </c>
      <c r="F77" s="393"/>
      <c r="G77" s="392">
        <f t="shared" si="38"/>
        <v>200.90695138051774</v>
      </c>
      <c r="H77" s="394">
        <f t="shared" si="39"/>
        <v>4.545454545454545</v>
      </c>
      <c r="M77" s="86"/>
    </row>
    <row r="78" spans="2:22" ht="15.75">
      <c r="B78" s="117" t="s">
        <v>6</v>
      </c>
      <c r="C78" s="45"/>
      <c r="D78" s="392">
        <f t="shared" si="36"/>
        <v>126.91448060529598</v>
      </c>
      <c r="E78" s="392">
        <f t="shared" si="37"/>
        <v>178.78787878787878</v>
      </c>
      <c r="F78" s="393"/>
      <c r="G78" s="392">
        <f t="shared" si="38"/>
        <v>126.91448060529598</v>
      </c>
      <c r="H78" s="394">
        <f t="shared" si="39"/>
        <v>4.2142857142857144</v>
      </c>
      <c r="M78" s="86"/>
    </row>
    <row r="79" spans="2:22" ht="15.75">
      <c r="B79" s="117" t="s">
        <v>7</v>
      </c>
      <c r="C79" s="45"/>
      <c r="D79" s="392">
        <f t="shared" si="36"/>
        <v>261.89863191257024</v>
      </c>
      <c r="E79" s="392">
        <f t="shared" si="37"/>
        <v>223.32635983263597</v>
      </c>
      <c r="F79" s="393"/>
      <c r="G79" s="392">
        <f t="shared" si="38"/>
        <v>261.89863191257024</v>
      </c>
      <c r="H79" s="394">
        <f t="shared" si="39"/>
        <v>8.2384719274551426</v>
      </c>
      <c r="M79" s="86"/>
    </row>
    <row r="80" spans="2:22" ht="15.75">
      <c r="B80" s="117" t="s">
        <v>8</v>
      </c>
      <c r="C80" s="45"/>
      <c r="D80" s="392">
        <f t="shared" si="36"/>
        <v>367.12716197106494</v>
      </c>
      <c r="E80" s="392">
        <f t="shared" si="37"/>
        <v>217.85714285714283</v>
      </c>
      <c r="F80" s="393"/>
      <c r="G80" s="392">
        <f t="shared" si="38"/>
        <v>367.12716197106494</v>
      </c>
      <c r="H80" s="394">
        <f t="shared" si="39"/>
        <v>8.0794701986754962</v>
      </c>
    </row>
    <row r="81" spans="2:8" ht="15.75">
      <c r="B81" s="117" t="s">
        <v>9</v>
      </c>
      <c r="C81" s="45"/>
      <c r="D81" s="392">
        <f t="shared" si="36"/>
        <v>571.11985799181912</v>
      </c>
      <c r="E81" s="392">
        <f t="shared" si="37"/>
        <v>215.34296028880868</v>
      </c>
      <c r="F81" s="393"/>
      <c r="G81" s="392">
        <f t="shared" si="38"/>
        <v>571.11985799181912</v>
      </c>
      <c r="H81" s="394">
        <f t="shared" si="39"/>
        <v>10.632798573975045</v>
      </c>
    </row>
    <row r="82" spans="2:8" ht="15.75">
      <c r="B82" s="117" t="s">
        <v>10</v>
      </c>
      <c r="C82" s="45"/>
      <c r="D82" s="392">
        <f t="shared" si="36"/>
        <v>1072.5571076805275</v>
      </c>
      <c r="E82" s="392">
        <f t="shared" si="37"/>
        <v>207.14285714285711</v>
      </c>
      <c r="F82" s="393"/>
      <c r="G82" s="392">
        <f t="shared" si="38"/>
        <v>1072.5571076805275</v>
      </c>
      <c r="H82" s="394">
        <f t="shared" si="39"/>
        <v>9.0142095914742448</v>
      </c>
    </row>
    <row r="83" spans="2:8" ht="15.75">
      <c r="B83" s="117" t="s">
        <v>11</v>
      </c>
      <c r="C83" s="45"/>
      <c r="D83" s="392">
        <f t="shared" si="36"/>
        <v>1452.2821576763486</v>
      </c>
      <c r="E83" s="392">
        <f t="shared" si="37"/>
        <v>153.53319057815847</v>
      </c>
      <c r="F83" s="393"/>
      <c r="G83" s="392">
        <f t="shared" si="38"/>
        <v>1452.2821576763486</v>
      </c>
      <c r="H83" s="394">
        <f t="shared" si="39"/>
        <v>5.8915365653245679</v>
      </c>
    </row>
    <row r="84" spans="2:8" ht="15.75">
      <c r="B84" s="117" t="s">
        <v>12</v>
      </c>
      <c r="C84" s="45"/>
      <c r="D84" s="392">
        <f t="shared" si="36"/>
        <v>31200</v>
      </c>
      <c r="E84" s="392">
        <f t="shared" si="37"/>
        <v>147.02380952380952</v>
      </c>
      <c r="F84" s="393"/>
      <c r="G84" s="392">
        <f t="shared" si="38"/>
        <v>31200</v>
      </c>
      <c r="H84" s="394">
        <f t="shared" si="39"/>
        <v>6.5517241379310347</v>
      </c>
    </row>
    <row r="85" spans="2:8" ht="15.75">
      <c r="B85" s="117" t="s">
        <v>13</v>
      </c>
      <c r="C85" s="45"/>
      <c r="D85" s="392">
        <f t="shared" si="36"/>
        <v>3448.275862068966</v>
      </c>
      <c r="E85" s="392">
        <f t="shared" si="37"/>
        <v>103.17460317460316</v>
      </c>
      <c r="F85" s="393"/>
      <c r="G85" s="392">
        <f t="shared" si="38"/>
        <v>3448.275862068966</v>
      </c>
      <c r="H85" s="394">
        <f t="shared" si="39"/>
        <v>2.5291828793774318</v>
      </c>
    </row>
    <row r="86" spans="2:8" ht="15.75">
      <c r="B86" s="117" t="s">
        <v>14</v>
      </c>
      <c r="C86" s="45"/>
      <c r="D86" s="392">
        <f t="shared" si="36"/>
        <v>72151.89873417723</v>
      </c>
      <c r="E86" s="392">
        <f t="shared" si="37"/>
        <v>52.369668246445499</v>
      </c>
      <c r="F86" s="393"/>
      <c r="G86" s="392">
        <f t="shared" si="38"/>
        <v>72151.89873417723</v>
      </c>
      <c r="H86" s="394">
        <f t="shared" si="39"/>
        <v>1.5579837856891083</v>
      </c>
    </row>
    <row r="87" spans="2:8" ht="16.5" thickBot="1">
      <c r="B87" s="398" t="s">
        <v>24</v>
      </c>
      <c r="C87" s="91"/>
      <c r="D87" s="395">
        <f t="shared" si="36"/>
        <v>265.65097813667455</v>
      </c>
      <c r="E87" s="395">
        <f t="shared" si="37"/>
        <v>179.70032840722496</v>
      </c>
      <c r="F87" s="396"/>
      <c r="G87" s="395">
        <f t="shared" si="38"/>
        <v>265.65097813667455</v>
      </c>
      <c r="H87" s="397">
        <f t="shared" si="39"/>
        <v>6.6335808455826655</v>
      </c>
    </row>
  </sheetData>
  <pageMargins left="0.70866141732283472" right="0.70866141732283472" top="0.74803149606299213" bottom="0.74803149606299213" header="0.31496062992125984" footer="0.31496062992125984"/>
  <pageSetup paperSize="9" scale="56" fitToHeight="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Y128"/>
  <sheetViews>
    <sheetView topLeftCell="A109" workbookViewId="0">
      <selection activeCell="G131" sqref="G131"/>
    </sheetView>
  </sheetViews>
  <sheetFormatPr defaultRowHeight="15"/>
  <cols>
    <col min="1" max="1" width="3" customWidth="1"/>
    <col min="2" max="2" width="27.7109375" customWidth="1"/>
    <col min="3" max="3" width="2.85546875" customWidth="1"/>
    <col min="4" max="6" width="11.28515625" customWidth="1"/>
    <col min="7" max="7" width="11.42578125" customWidth="1"/>
    <col min="8" max="8" width="11.85546875" customWidth="1"/>
    <col min="9" max="9" width="11.28515625" customWidth="1"/>
    <col min="10" max="10" width="12.28515625" customWidth="1"/>
    <col min="11" max="11" width="14.140625" customWidth="1"/>
    <col min="12" max="12" width="11.5703125" customWidth="1"/>
    <col min="13" max="13" width="12.7109375" customWidth="1"/>
    <col min="14" max="14" width="13" customWidth="1"/>
    <col min="15" max="15" width="11.85546875" customWidth="1"/>
    <col min="16" max="16" width="12.140625" customWidth="1"/>
    <col min="17" max="17" width="13.85546875" customWidth="1"/>
    <col min="18" max="18" width="12.140625" customWidth="1"/>
    <col min="19" max="19" width="12.5703125" customWidth="1"/>
    <col min="20" max="20" width="13.140625" customWidth="1"/>
    <col min="21" max="21" width="12.85546875" customWidth="1"/>
    <col min="22" max="22" width="12" customWidth="1"/>
    <col min="23" max="23" width="12.5703125" customWidth="1"/>
    <col min="24" max="24" width="11.85546875" customWidth="1"/>
    <col min="25" max="25" width="12" customWidth="1"/>
  </cols>
  <sheetData>
    <row r="1" spans="2:24" ht="26.25">
      <c r="B1" s="195" t="s">
        <v>140</v>
      </c>
      <c r="C1" s="90"/>
    </row>
    <row r="2" spans="2:24" ht="26.25">
      <c r="B2" s="195" t="s">
        <v>209</v>
      </c>
    </row>
    <row r="4" spans="2:24" ht="15.75" thickBot="1"/>
    <row r="5" spans="2:24" ht="23.25">
      <c r="B5" s="212" t="s">
        <v>105</v>
      </c>
      <c r="C5" s="212"/>
      <c r="D5" s="127"/>
      <c r="E5" s="48"/>
      <c r="F5" s="48"/>
      <c r="G5" s="48"/>
      <c r="H5" s="40"/>
      <c r="I5" s="40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1"/>
    </row>
    <row r="6" spans="2:24" ht="10.5" customHeight="1">
      <c r="B6" s="359"/>
      <c r="C6" s="360"/>
      <c r="D6" s="211"/>
      <c r="E6" s="211"/>
      <c r="F6" s="211"/>
      <c r="G6" s="211"/>
      <c r="H6" s="45"/>
      <c r="I6" s="4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47"/>
    </row>
    <row r="7" spans="2:24" ht="60">
      <c r="B7" s="303"/>
      <c r="C7" s="290"/>
      <c r="D7" s="291" t="s">
        <v>2</v>
      </c>
      <c r="E7" s="292" t="s">
        <v>4</v>
      </c>
      <c r="F7" s="293" t="s">
        <v>41</v>
      </c>
      <c r="G7" s="294" t="s">
        <v>26</v>
      </c>
      <c r="H7" s="295" t="s">
        <v>43</v>
      </c>
      <c r="I7" s="338" t="s">
        <v>82</v>
      </c>
      <c r="J7" s="296" t="s">
        <v>15</v>
      </c>
      <c r="K7" s="368" t="s">
        <v>88</v>
      </c>
      <c r="L7" s="293" t="s">
        <v>39</v>
      </c>
      <c r="M7" s="293" t="s">
        <v>38</v>
      </c>
      <c r="N7" s="293" t="s">
        <v>40</v>
      </c>
      <c r="O7" s="298" t="s">
        <v>28</v>
      </c>
      <c r="P7" s="298" t="s">
        <v>27</v>
      </c>
      <c r="Q7" s="299" t="s">
        <v>89</v>
      </c>
      <c r="R7" s="299" t="s">
        <v>30</v>
      </c>
      <c r="S7" s="295" t="s">
        <v>31</v>
      </c>
      <c r="T7" s="300" t="s">
        <v>32</v>
      </c>
      <c r="U7" s="301" t="s">
        <v>33</v>
      </c>
      <c r="V7" s="297"/>
      <c r="W7" s="302" t="s">
        <v>34</v>
      </c>
      <c r="X7" s="304" t="s">
        <v>35</v>
      </c>
    </row>
    <row r="8" spans="2:24">
      <c r="B8" s="60" t="s">
        <v>5</v>
      </c>
      <c r="C8" s="220"/>
      <c r="D8" s="61">
        <v>33</v>
      </c>
      <c r="E8" s="62">
        <v>17421</v>
      </c>
      <c r="F8" s="63">
        <v>5</v>
      </c>
      <c r="G8" s="112">
        <f>F8*1000/E8</f>
        <v>0.2870099305435968</v>
      </c>
      <c r="H8" s="113">
        <f>D8*1000000/E8</f>
        <v>1894.2655415877389</v>
      </c>
      <c r="I8" s="130">
        <f>1- (F8/L8)</f>
        <v>0.16666666666666663</v>
      </c>
      <c r="J8" s="62">
        <v>17421</v>
      </c>
      <c r="K8" s="369">
        <f>F8</f>
        <v>5</v>
      </c>
      <c r="L8" s="63">
        <v>6</v>
      </c>
      <c r="M8" s="63">
        <v>6</v>
      </c>
      <c r="N8" s="63">
        <v>6</v>
      </c>
      <c r="O8" s="64">
        <v>2.1</v>
      </c>
      <c r="P8" s="64">
        <v>0.4</v>
      </c>
      <c r="Q8" s="65">
        <v>1.4</v>
      </c>
      <c r="R8" s="65">
        <v>0.3</v>
      </c>
      <c r="S8" s="66">
        <v>0.2</v>
      </c>
      <c r="T8" s="45">
        <v>0</v>
      </c>
      <c r="U8" s="67">
        <v>0</v>
      </c>
      <c r="V8" s="95"/>
      <c r="W8" s="68">
        <v>0.6</v>
      </c>
      <c r="X8" s="69">
        <f t="shared" ref="X8:X18" si="0">SUM(O8:W8)</f>
        <v>5</v>
      </c>
    </row>
    <row r="9" spans="2:24">
      <c r="B9" s="60" t="s">
        <v>6</v>
      </c>
      <c r="C9" s="220"/>
      <c r="D9" s="61">
        <v>140</v>
      </c>
      <c r="E9" s="62">
        <v>267109</v>
      </c>
      <c r="F9" s="63">
        <v>33</v>
      </c>
      <c r="G9" s="112">
        <f t="shared" ref="G9:G18" si="1">F9*1000/E9</f>
        <v>0.12354506961577483</v>
      </c>
      <c r="H9" s="113">
        <f t="shared" ref="H9:H18" si="2">D9*1000000/E9</f>
        <v>524.13059836995387</v>
      </c>
      <c r="I9" s="130">
        <f t="shared" ref="I9:I17" si="3">1- (F9/L9)</f>
        <v>8.333333333333337E-2</v>
      </c>
      <c r="J9" s="62">
        <v>267109</v>
      </c>
      <c r="K9" s="369">
        <f t="shared" ref="K9:K15" si="4">F9</f>
        <v>33</v>
      </c>
      <c r="L9" s="63">
        <v>36</v>
      </c>
      <c r="M9" s="63">
        <v>36</v>
      </c>
      <c r="N9" s="63">
        <v>4</v>
      </c>
      <c r="O9" s="64">
        <v>3.7</v>
      </c>
      <c r="P9" s="64">
        <v>2.5</v>
      </c>
      <c r="Q9" s="65">
        <v>2.1</v>
      </c>
      <c r="R9" s="65">
        <v>0.2</v>
      </c>
      <c r="S9" s="66">
        <v>1.3</v>
      </c>
      <c r="T9" s="45">
        <v>28.1</v>
      </c>
      <c r="U9" s="67">
        <v>0</v>
      </c>
      <c r="V9" s="95"/>
      <c r="W9" s="68">
        <v>1.9</v>
      </c>
      <c r="X9" s="69">
        <f t="shared" si="0"/>
        <v>39.800000000000004</v>
      </c>
    </row>
    <row r="10" spans="2:24">
      <c r="B10" s="60" t="s">
        <v>7</v>
      </c>
      <c r="C10" s="220"/>
      <c r="D10" s="61">
        <v>5183</v>
      </c>
      <c r="E10" s="62">
        <v>1013751</v>
      </c>
      <c r="F10" s="63">
        <v>1912</v>
      </c>
      <c r="G10" s="112">
        <f t="shared" si="1"/>
        <v>1.8860647239805435</v>
      </c>
      <c r="H10" s="113">
        <f t="shared" si="2"/>
        <v>5112.6953265644124</v>
      </c>
      <c r="I10" s="130">
        <f t="shared" si="3"/>
        <v>7.7220077220077177E-2</v>
      </c>
      <c r="J10" s="62">
        <v>1013751</v>
      </c>
      <c r="K10" s="369">
        <f t="shared" si="4"/>
        <v>1912</v>
      </c>
      <c r="L10" s="63">
        <v>2072</v>
      </c>
      <c r="M10" s="63">
        <v>2072</v>
      </c>
      <c r="N10" s="63">
        <v>2072</v>
      </c>
      <c r="O10" s="70">
        <v>134.1</v>
      </c>
      <c r="P10" s="70">
        <v>143.19999999999999</v>
      </c>
      <c r="Q10" s="71">
        <v>80.099999999999994</v>
      </c>
      <c r="R10" s="71">
        <v>110.6</v>
      </c>
      <c r="S10" s="72">
        <v>75.5</v>
      </c>
      <c r="T10" s="73">
        <v>0</v>
      </c>
      <c r="U10" s="74">
        <v>51.3</v>
      </c>
      <c r="V10" s="96"/>
      <c r="W10" s="75">
        <v>97.7</v>
      </c>
      <c r="X10" s="69">
        <f t="shared" si="0"/>
        <v>692.5</v>
      </c>
    </row>
    <row r="11" spans="2:24">
      <c r="B11" s="60" t="s">
        <v>8</v>
      </c>
      <c r="C11" s="220"/>
      <c r="D11" s="61">
        <v>906</v>
      </c>
      <c r="E11" s="62">
        <v>73544</v>
      </c>
      <c r="F11" s="63">
        <v>336</v>
      </c>
      <c r="G11" s="112">
        <f t="shared" si="1"/>
        <v>4.5686935711954746</v>
      </c>
      <c r="H11" s="113">
        <f t="shared" si="2"/>
        <v>12319.155879473512</v>
      </c>
      <c r="I11" s="130">
        <f t="shared" si="3"/>
        <v>4.2735042735042694E-2</v>
      </c>
      <c r="J11" s="62">
        <v>73544</v>
      </c>
      <c r="K11" s="369">
        <f t="shared" si="4"/>
        <v>336</v>
      </c>
      <c r="L11" s="63">
        <v>351</v>
      </c>
      <c r="M11" s="63">
        <v>351</v>
      </c>
      <c r="N11" s="63">
        <v>351</v>
      </c>
      <c r="O11" s="76">
        <v>13.6</v>
      </c>
      <c r="P11" s="76">
        <v>26.6</v>
      </c>
      <c r="Q11" s="77">
        <v>6</v>
      </c>
      <c r="R11" s="77">
        <v>18.7</v>
      </c>
      <c r="S11" s="78">
        <v>13.4</v>
      </c>
      <c r="T11" s="79">
        <v>0</v>
      </c>
      <c r="U11" s="80">
        <v>7.4</v>
      </c>
      <c r="V11" s="97"/>
      <c r="W11" s="81">
        <v>14.5</v>
      </c>
      <c r="X11" s="69">
        <f t="shared" si="0"/>
        <v>100.20000000000002</v>
      </c>
    </row>
    <row r="12" spans="2:24">
      <c r="B12" s="60" t="s">
        <v>9</v>
      </c>
      <c r="C12" s="220"/>
      <c r="D12" s="61">
        <v>1122</v>
      </c>
      <c r="E12" s="62">
        <v>12957</v>
      </c>
      <c r="F12" s="63">
        <v>554</v>
      </c>
      <c r="G12" s="112">
        <f t="shared" si="1"/>
        <v>42.756810990198346</v>
      </c>
      <c r="H12" s="113">
        <f t="shared" si="2"/>
        <v>86594.119009029862</v>
      </c>
      <c r="I12" s="130">
        <f t="shared" si="3"/>
        <v>4.3177892918825567E-2</v>
      </c>
      <c r="J12" s="62">
        <v>12957</v>
      </c>
      <c r="K12" s="369">
        <f t="shared" si="4"/>
        <v>554</v>
      </c>
      <c r="L12" s="63">
        <v>579</v>
      </c>
      <c r="M12" s="63">
        <v>579</v>
      </c>
      <c r="N12" s="63">
        <v>579</v>
      </c>
      <c r="O12" s="76">
        <v>2.2000000000000002</v>
      </c>
      <c r="P12" s="76">
        <v>44.8</v>
      </c>
      <c r="Q12" s="77">
        <v>1.1000000000000001</v>
      </c>
      <c r="R12" s="77">
        <v>31</v>
      </c>
      <c r="S12" s="78">
        <v>22.5</v>
      </c>
      <c r="T12" s="79">
        <v>0</v>
      </c>
      <c r="U12" s="80">
        <v>4.0999999999999996</v>
      </c>
      <c r="V12" s="97"/>
      <c r="W12" s="81">
        <v>21</v>
      </c>
      <c r="X12" s="69">
        <f t="shared" si="0"/>
        <v>126.69999999999999</v>
      </c>
    </row>
    <row r="13" spans="2:24">
      <c r="B13" s="60" t="s">
        <v>10</v>
      </c>
      <c r="C13" s="220"/>
      <c r="D13" s="61">
        <v>1126</v>
      </c>
      <c r="E13" s="62">
        <v>2911</v>
      </c>
      <c r="F13" s="63">
        <v>490</v>
      </c>
      <c r="G13" s="112">
        <f t="shared" si="1"/>
        <v>168.32703538302988</v>
      </c>
      <c r="H13" s="113">
        <f t="shared" si="2"/>
        <v>386808.65681896254</v>
      </c>
      <c r="I13" s="130">
        <f t="shared" si="3"/>
        <v>4.4834307992202782E-2</v>
      </c>
      <c r="J13" s="62">
        <v>2620</v>
      </c>
      <c r="K13" s="369">
        <f t="shared" si="4"/>
        <v>490</v>
      </c>
      <c r="L13" s="63">
        <v>513</v>
      </c>
      <c r="M13" s="63">
        <v>513</v>
      </c>
      <c r="N13" s="63">
        <v>461</v>
      </c>
      <c r="O13" s="76">
        <v>0.5</v>
      </c>
      <c r="P13" s="76">
        <v>38.799999999999997</v>
      </c>
      <c r="Q13" s="77">
        <v>0.2</v>
      </c>
      <c r="R13" s="77">
        <v>24.6</v>
      </c>
      <c r="S13" s="78">
        <v>19.7</v>
      </c>
      <c r="T13" s="79">
        <v>0</v>
      </c>
      <c r="U13" s="80">
        <v>2.4</v>
      </c>
      <c r="V13" s="97"/>
      <c r="W13" s="81">
        <v>18.399999999999999</v>
      </c>
      <c r="X13" s="69">
        <f t="shared" si="0"/>
        <v>104.6</v>
      </c>
    </row>
    <row r="14" spans="2:24">
      <c r="B14" s="60" t="s">
        <v>11</v>
      </c>
      <c r="C14" s="220"/>
      <c r="D14" s="61">
        <v>1217</v>
      </c>
      <c r="E14" s="62">
        <v>964</v>
      </c>
      <c r="F14" s="63">
        <v>467</v>
      </c>
      <c r="G14" s="112">
        <f t="shared" si="1"/>
        <v>484.43983402489624</v>
      </c>
      <c r="H14" s="113">
        <f t="shared" si="2"/>
        <v>1262448.132780083</v>
      </c>
      <c r="I14" s="130">
        <f t="shared" si="3"/>
        <v>3.3126293995859202E-2</v>
      </c>
      <c r="J14" s="62">
        <v>96</v>
      </c>
      <c r="K14" s="369">
        <f t="shared" si="4"/>
        <v>467</v>
      </c>
      <c r="L14" s="63">
        <v>483</v>
      </c>
      <c r="M14" s="63">
        <v>483</v>
      </c>
      <c r="N14" s="63">
        <v>48</v>
      </c>
      <c r="O14" s="76">
        <v>0.2</v>
      </c>
      <c r="P14" s="76">
        <v>33.799999999999997</v>
      </c>
      <c r="Q14" s="77">
        <v>0</v>
      </c>
      <c r="R14" s="77">
        <v>2.6</v>
      </c>
      <c r="S14" s="78">
        <v>17.8</v>
      </c>
      <c r="T14" s="79">
        <v>0</v>
      </c>
      <c r="U14" s="80">
        <v>1.2</v>
      </c>
      <c r="V14" s="97"/>
      <c r="W14" s="81">
        <v>17.5</v>
      </c>
      <c r="X14" s="69">
        <f t="shared" si="0"/>
        <v>73.100000000000009</v>
      </c>
    </row>
    <row r="15" spans="2:24">
      <c r="B15" s="60" t="s">
        <v>12</v>
      </c>
      <c r="C15" s="220"/>
      <c r="D15" s="61">
        <v>377</v>
      </c>
      <c r="E15" s="62">
        <v>125</v>
      </c>
      <c r="F15" s="63">
        <v>168</v>
      </c>
      <c r="G15" s="112">
        <f t="shared" si="1"/>
        <v>1344</v>
      </c>
      <c r="H15" s="113">
        <f t="shared" si="2"/>
        <v>3016000</v>
      </c>
      <c r="I15" s="130">
        <f t="shared" si="3"/>
        <v>3.4482758620689613E-2</v>
      </c>
      <c r="J15" s="62">
        <v>13</v>
      </c>
      <c r="K15" s="369">
        <f t="shared" si="4"/>
        <v>168</v>
      </c>
      <c r="L15" s="63">
        <v>174</v>
      </c>
      <c r="M15" s="63">
        <v>174</v>
      </c>
      <c r="N15" s="63">
        <v>17</v>
      </c>
      <c r="O15" s="76">
        <v>3.7</v>
      </c>
      <c r="P15" s="76">
        <v>14.8</v>
      </c>
      <c r="Q15" s="77">
        <v>0</v>
      </c>
      <c r="R15" s="77">
        <v>0.9</v>
      </c>
      <c r="S15" s="78">
        <v>6.7</v>
      </c>
      <c r="T15" s="79">
        <v>0</v>
      </c>
      <c r="U15" s="80">
        <v>0.2</v>
      </c>
      <c r="V15" s="97"/>
      <c r="W15" s="81">
        <v>2.2999999999999998</v>
      </c>
      <c r="X15" s="69">
        <f t="shared" si="0"/>
        <v>28.599999999999998</v>
      </c>
    </row>
    <row r="16" spans="2:24">
      <c r="B16" s="60" t="s">
        <v>13</v>
      </c>
      <c r="C16" s="220"/>
      <c r="D16" s="61">
        <v>257</v>
      </c>
      <c r="E16" s="62">
        <v>116</v>
      </c>
      <c r="F16" s="63">
        <v>63</v>
      </c>
      <c r="G16" s="112">
        <f t="shared" si="1"/>
        <v>543.10344827586209</v>
      </c>
      <c r="H16" s="113">
        <f t="shared" si="2"/>
        <v>2215517.2413793104</v>
      </c>
      <c r="I16" s="130">
        <f t="shared" si="3"/>
        <v>1.5625E-2</v>
      </c>
      <c r="J16" s="62">
        <v>0</v>
      </c>
      <c r="K16" s="369">
        <v>0</v>
      </c>
      <c r="L16" s="63">
        <v>64</v>
      </c>
      <c r="M16" s="63">
        <v>0</v>
      </c>
      <c r="N16" s="63">
        <v>0</v>
      </c>
      <c r="O16" s="76">
        <v>0</v>
      </c>
      <c r="P16" s="76">
        <v>4.0999999999999996</v>
      </c>
      <c r="Q16" s="77">
        <v>0</v>
      </c>
      <c r="R16" s="77">
        <v>0</v>
      </c>
      <c r="S16" s="78">
        <v>0</v>
      </c>
      <c r="T16" s="79">
        <v>0</v>
      </c>
      <c r="U16" s="80">
        <v>0.4</v>
      </c>
      <c r="V16" s="97"/>
      <c r="W16" s="81">
        <v>2.4</v>
      </c>
      <c r="X16" s="69">
        <f t="shared" si="0"/>
        <v>6.9</v>
      </c>
    </row>
    <row r="17" spans="2:24">
      <c r="B17" s="324" t="s">
        <v>14</v>
      </c>
      <c r="C17" s="312"/>
      <c r="D17" s="313">
        <v>2837</v>
      </c>
      <c r="E17" s="314">
        <v>316</v>
      </c>
      <c r="F17" s="315">
        <v>844</v>
      </c>
      <c r="G17" s="316">
        <f t="shared" si="1"/>
        <v>2670.8860759493673</v>
      </c>
      <c r="H17" s="317">
        <f t="shared" si="2"/>
        <v>8977848.1012658235</v>
      </c>
      <c r="I17" s="339">
        <f t="shared" si="3"/>
        <v>2.0881670533642649E-2</v>
      </c>
      <c r="J17" s="314">
        <v>0</v>
      </c>
      <c r="K17" s="370">
        <v>0</v>
      </c>
      <c r="L17" s="315">
        <v>862</v>
      </c>
      <c r="M17" s="315">
        <v>0</v>
      </c>
      <c r="N17" s="315">
        <v>0</v>
      </c>
      <c r="O17" s="361">
        <v>21.6</v>
      </c>
      <c r="P17" s="361">
        <v>38.200000000000003</v>
      </c>
      <c r="Q17" s="362">
        <v>0</v>
      </c>
      <c r="R17" s="362">
        <v>0</v>
      </c>
      <c r="S17" s="363">
        <v>0</v>
      </c>
      <c r="T17" s="364">
        <v>0</v>
      </c>
      <c r="U17" s="365">
        <v>1.2</v>
      </c>
      <c r="V17" s="366"/>
      <c r="W17" s="367">
        <v>6</v>
      </c>
      <c r="X17" s="325">
        <f t="shared" si="0"/>
        <v>67</v>
      </c>
    </row>
    <row r="18" spans="2:24" ht="15.75" thickBot="1">
      <c r="B18" s="271" t="s">
        <v>0</v>
      </c>
      <c r="C18" s="283"/>
      <c r="D18" s="277">
        <f t="shared" ref="D18:W18" si="5">SUM(D8:D17)</f>
        <v>13198</v>
      </c>
      <c r="E18" s="272">
        <f t="shared" si="5"/>
        <v>1389214</v>
      </c>
      <c r="F18" s="273">
        <f>SUM(F8:F17)</f>
        <v>4872</v>
      </c>
      <c r="G18" s="274">
        <f t="shared" si="1"/>
        <v>3.507019076974462</v>
      </c>
      <c r="H18" s="275">
        <f t="shared" si="2"/>
        <v>9500.3361613113611</v>
      </c>
      <c r="I18" s="276"/>
      <c r="J18" s="272">
        <f>SUM(J8:J17)</f>
        <v>1387511</v>
      </c>
      <c r="K18" s="371">
        <f>SUM(K8:K17)</f>
        <v>3965</v>
      </c>
      <c r="L18" s="273">
        <f t="shared" si="5"/>
        <v>5140</v>
      </c>
      <c r="M18" s="273">
        <f t="shared" si="5"/>
        <v>4214</v>
      </c>
      <c r="N18" s="273">
        <f t="shared" si="5"/>
        <v>3538</v>
      </c>
      <c r="O18" s="305">
        <f t="shared" si="5"/>
        <v>181.69999999999996</v>
      </c>
      <c r="P18" s="305">
        <f t="shared" si="5"/>
        <v>347.20000000000005</v>
      </c>
      <c r="Q18" s="306">
        <f t="shared" si="5"/>
        <v>90.899999999999991</v>
      </c>
      <c r="R18" s="306">
        <f t="shared" si="5"/>
        <v>188.89999999999998</v>
      </c>
      <c r="S18" s="307">
        <f t="shared" si="5"/>
        <v>157.1</v>
      </c>
      <c r="T18" s="308">
        <f t="shared" si="5"/>
        <v>28.1</v>
      </c>
      <c r="U18" s="309">
        <f t="shared" si="5"/>
        <v>68.200000000000017</v>
      </c>
      <c r="V18" s="284"/>
      <c r="W18" s="310">
        <f t="shared" si="5"/>
        <v>182.3</v>
      </c>
      <c r="X18" s="311">
        <f t="shared" si="0"/>
        <v>1244.3999999999999</v>
      </c>
    </row>
    <row r="19" spans="2:24" s="31" customFormat="1">
      <c r="B19" s="27"/>
      <c r="C19" s="27"/>
      <c r="D19" s="28"/>
      <c r="E19" s="28"/>
      <c r="F19" s="28"/>
      <c r="G19" s="114"/>
      <c r="H19" s="115"/>
      <c r="I19" s="115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30"/>
    </row>
    <row r="20" spans="2:24" s="31" customFormat="1">
      <c r="B20" s="27"/>
      <c r="C20" s="27"/>
      <c r="D20" s="28"/>
      <c r="E20" s="28"/>
      <c r="F20" s="28"/>
      <c r="G20" s="114"/>
      <c r="H20" s="115"/>
      <c r="I20" s="115"/>
      <c r="J20" s="28"/>
      <c r="K20" s="28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30"/>
    </row>
    <row r="21" spans="2:24" s="31" customFormat="1">
      <c r="B21" s="27"/>
      <c r="C21" s="27"/>
      <c r="D21" s="28"/>
      <c r="E21" s="28"/>
      <c r="F21" s="28"/>
      <c r="G21" s="114"/>
      <c r="H21" s="115"/>
      <c r="I21" s="115"/>
      <c r="J21" s="28"/>
      <c r="K21" s="28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30"/>
    </row>
    <row r="22" spans="2:24" ht="23.25">
      <c r="B22" s="194" t="s">
        <v>91</v>
      </c>
      <c r="C22" s="194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46" t="s">
        <v>78</v>
      </c>
      <c r="O22" s="147"/>
      <c r="P22" s="164">
        <f>O18+P18</f>
        <v>528.9</v>
      </c>
      <c r="Q22" s="165"/>
      <c r="R22" s="166">
        <f>Q18+R18</f>
        <v>279.79999999999995</v>
      </c>
      <c r="S22" s="167">
        <f>S18</f>
        <v>157.1</v>
      </c>
      <c r="T22" s="165">
        <f>T18</f>
        <v>28.1</v>
      </c>
      <c r="U22" s="168">
        <f>U18</f>
        <v>68.200000000000017</v>
      </c>
      <c r="V22" s="169"/>
      <c r="W22" s="170">
        <f>W18</f>
        <v>182.3</v>
      </c>
      <c r="X22" s="171">
        <f>SUM(P22:W22)</f>
        <v>1244.3999999999999</v>
      </c>
    </row>
    <row r="23" spans="2:24" ht="18.75">
      <c r="B23" s="116" t="s">
        <v>185</v>
      </c>
      <c r="C23" s="116"/>
      <c r="D23" s="28"/>
      <c r="E23" s="28"/>
      <c r="F23" s="28"/>
      <c r="G23" s="28"/>
      <c r="H23" s="28"/>
      <c r="I23" s="28"/>
      <c r="J23" s="28"/>
      <c r="K23" s="28"/>
      <c r="L23" s="28"/>
      <c r="N23" s="132"/>
      <c r="O23" s="149" t="s">
        <v>57</v>
      </c>
      <c r="P23" s="150" t="s">
        <v>3</v>
      </c>
      <c r="Q23" s="141" t="s">
        <v>57</v>
      </c>
      <c r="R23" s="141" t="s">
        <v>3</v>
      </c>
      <c r="S23" s="154" t="s">
        <v>3</v>
      </c>
      <c r="T23" s="133" t="s">
        <v>57</v>
      </c>
      <c r="U23" s="157" t="s">
        <v>57</v>
      </c>
      <c r="V23" s="160" t="s">
        <v>57</v>
      </c>
      <c r="W23" s="161" t="s">
        <v>3</v>
      </c>
      <c r="X23" s="145"/>
    </row>
    <row r="24" spans="2:24" ht="18.75">
      <c r="B24" s="116" t="s">
        <v>186</v>
      </c>
      <c r="C24" s="11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415" t="s">
        <v>56</v>
      </c>
      <c r="O24" s="407">
        <v>0.7</v>
      </c>
      <c r="P24" s="151">
        <f>1-O24</f>
        <v>0.30000000000000004</v>
      </c>
      <c r="Q24" s="408">
        <v>0.7</v>
      </c>
      <c r="R24" s="142">
        <f>1-Q24</f>
        <v>0.30000000000000004</v>
      </c>
      <c r="S24" s="155">
        <v>1</v>
      </c>
      <c r="T24" s="132">
        <v>1</v>
      </c>
      <c r="U24" s="158">
        <v>1</v>
      </c>
      <c r="V24" s="409">
        <v>0.7</v>
      </c>
      <c r="W24" s="162">
        <f>1-V24</f>
        <v>0.30000000000000004</v>
      </c>
      <c r="X24" s="145"/>
    </row>
    <row r="25" spans="2:24" ht="19.5" thickBot="1">
      <c r="B25" s="116" t="s">
        <v>187</v>
      </c>
      <c r="C25" s="116"/>
      <c r="D25" s="28"/>
      <c r="E25" s="28"/>
      <c r="F25" s="28"/>
      <c r="G25" s="28"/>
      <c r="H25" s="28"/>
      <c r="I25" s="28"/>
      <c r="J25" s="28"/>
      <c r="K25" s="28"/>
      <c r="L25" s="28"/>
      <c r="M25" s="327"/>
      <c r="N25" s="328" t="s">
        <v>90</v>
      </c>
      <c r="O25" s="152">
        <f>O24*P22</f>
        <v>370.22999999999996</v>
      </c>
      <c r="P25" s="148">
        <f>P24*P22</f>
        <v>158.67000000000002</v>
      </c>
      <c r="Q25" s="143">
        <f>Q24*R22</f>
        <v>195.85999999999996</v>
      </c>
      <c r="R25" s="143">
        <f>R24*R22</f>
        <v>83.94</v>
      </c>
      <c r="S25" s="153">
        <f>S22*S24</f>
        <v>157.1</v>
      </c>
      <c r="T25" s="134">
        <f t="shared" ref="T25:U25" si="6">T22*T24</f>
        <v>28.1</v>
      </c>
      <c r="U25" s="156">
        <f t="shared" si="6"/>
        <v>68.200000000000017</v>
      </c>
      <c r="V25" s="163">
        <f>V24*W22</f>
        <v>127.61</v>
      </c>
      <c r="W25" s="159">
        <f>W24*W22</f>
        <v>54.690000000000012</v>
      </c>
      <c r="X25" s="144">
        <f>SUM(O25:W25)</f>
        <v>1244.4000000000001</v>
      </c>
    </row>
    <row r="26" spans="2:24" s="31" customFormat="1" ht="18.75">
      <c r="B26" s="116"/>
      <c r="C26" s="116"/>
      <c r="D26" s="28"/>
      <c r="E26" s="28"/>
      <c r="F26" s="28"/>
      <c r="G26" s="28"/>
      <c r="H26" s="28"/>
      <c r="I26" s="28"/>
      <c r="J26" s="28"/>
      <c r="K26" s="28"/>
      <c r="L26" s="28"/>
      <c r="M26" s="95"/>
      <c r="N26" s="249"/>
      <c r="O26" s="248"/>
      <c r="P26" s="248"/>
      <c r="Q26" s="248"/>
      <c r="R26" s="248"/>
      <c r="S26" s="248"/>
      <c r="T26" s="248"/>
      <c r="U26" s="248"/>
      <c r="V26" s="248"/>
      <c r="W26" s="248"/>
      <c r="X26" s="250"/>
    </row>
    <row r="27" spans="2:24" s="31" customFormat="1" ht="19.5" thickBot="1">
      <c r="B27" s="116"/>
      <c r="C27" s="116"/>
      <c r="D27" s="28"/>
      <c r="E27" s="28"/>
      <c r="F27" s="28"/>
      <c r="G27" s="28"/>
      <c r="H27" s="28"/>
      <c r="I27" s="28"/>
      <c r="J27" s="28"/>
      <c r="K27" s="28"/>
      <c r="L27" s="28"/>
      <c r="N27" s="249"/>
      <c r="O27" s="248"/>
      <c r="P27" s="248"/>
      <c r="Q27" s="248"/>
      <c r="R27" s="248"/>
      <c r="S27" s="248"/>
      <c r="T27" s="248"/>
      <c r="U27" s="248"/>
      <c r="V27" s="248"/>
      <c r="W27" s="248"/>
      <c r="X27" s="250"/>
    </row>
    <row r="28" spans="2:24" ht="21.75" thickBot="1">
      <c r="B28" s="259" t="s">
        <v>74</v>
      </c>
      <c r="C28" s="266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251"/>
      <c r="P28" s="251"/>
      <c r="Q28" s="251"/>
      <c r="R28" s="251"/>
      <c r="S28" s="251"/>
      <c r="T28" s="251"/>
      <c r="U28" s="251"/>
      <c r="V28" s="251"/>
      <c r="W28" s="200"/>
    </row>
    <row r="29" spans="2:24" ht="30.75" thickBot="1">
      <c r="B29" s="44"/>
      <c r="C29" s="4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45" t="s">
        <v>108</v>
      </c>
      <c r="O29" s="246" t="s">
        <v>68</v>
      </c>
      <c r="P29" s="246" t="s">
        <v>69</v>
      </c>
      <c r="Q29" s="246" t="s">
        <v>68</v>
      </c>
      <c r="R29" s="246" t="s">
        <v>70</v>
      </c>
      <c r="S29" s="246" t="s">
        <v>71</v>
      </c>
      <c r="T29" s="246" t="s">
        <v>72</v>
      </c>
      <c r="U29" s="246" t="s">
        <v>109</v>
      </c>
      <c r="V29" s="246" t="s">
        <v>68</v>
      </c>
      <c r="W29" s="247" t="s">
        <v>73</v>
      </c>
      <c r="X29" s="95"/>
    </row>
    <row r="30" spans="2:24" ht="60">
      <c r="B30" s="172"/>
      <c r="C30" s="40"/>
      <c r="D30" s="173" t="s">
        <v>2</v>
      </c>
      <c r="E30" s="174" t="s">
        <v>4</v>
      </c>
      <c r="F30" s="175" t="s">
        <v>41</v>
      </c>
      <c r="G30" s="176" t="s">
        <v>26</v>
      </c>
      <c r="H30" s="177" t="s">
        <v>43</v>
      </c>
      <c r="I30" s="186" t="s">
        <v>82</v>
      </c>
      <c r="J30" s="179" t="s">
        <v>15</v>
      </c>
      <c r="K30" s="368" t="s">
        <v>88</v>
      </c>
      <c r="L30" s="175" t="s">
        <v>39</v>
      </c>
      <c r="M30" s="175" t="s">
        <v>38</v>
      </c>
      <c r="N30" s="175" t="s">
        <v>40</v>
      </c>
      <c r="O30" s="180" t="s">
        <v>60</v>
      </c>
      <c r="P30" s="180" t="s">
        <v>59</v>
      </c>
      <c r="Q30" s="181" t="s">
        <v>61</v>
      </c>
      <c r="R30" s="181" t="s">
        <v>62</v>
      </c>
      <c r="S30" s="177" t="s">
        <v>63</v>
      </c>
      <c r="T30" s="182" t="s">
        <v>64</v>
      </c>
      <c r="U30" s="183" t="s">
        <v>65</v>
      </c>
      <c r="V30" s="184" t="s">
        <v>66</v>
      </c>
      <c r="W30" s="190" t="s">
        <v>67</v>
      </c>
      <c r="X30" s="94" t="s">
        <v>46</v>
      </c>
    </row>
    <row r="31" spans="2:24">
      <c r="B31" s="60" t="s">
        <v>5</v>
      </c>
      <c r="C31" s="220"/>
      <c r="D31" s="61">
        <v>33</v>
      </c>
      <c r="E31" s="443">
        <v>7200</v>
      </c>
      <c r="F31" s="63">
        <v>5</v>
      </c>
      <c r="G31" s="112">
        <f>F31*1000/E31</f>
        <v>0.69444444444444442</v>
      </c>
      <c r="H31" s="113">
        <f>D31*1000000/E31</f>
        <v>4583.333333333333</v>
      </c>
      <c r="I31" s="130">
        <f>1- (F31/L31)</f>
        <v>0.16666666666666663</v>
      </c>
      <c r="J31" s="62">
        <f>E31</f>
        <v>7200</v>
      </c>
      <c r="K31" s="369">
        <f>F31</f>
        <v>5</v>
      </c>
      <c r="L31" s="63">
        <v>6</v>
      </c>
      <c r="M31" s="63">
        <v>6</v>
      </c>
      <c r="N31" s="63">
        <v>6</v>
      </c>
      <c r="O31" s="100">
        <f>E31/E$41</f>
        <v>6.3938391807360729E-3</v>
      </c>
      <c r="P31" s="100">
        <f>L31/L$41</f>
        <v>1.1673151750972762E-3</v>
      </c>
      <c r="Q31" s="191">
        <f>J31/J$41</f>
        <v>6.4035233608536607E-3</v>
      </c>
      <c r="R31" s="101">
        <f t="shared" ref="R31:R40" si="7">N31/N$41</f>
        <v>1.6958733747880158E-3</v>
      </c>
      <c r="S31" s="102">
        <f>M31/M$41</f>
        <v>1.4238253440911248E-3</v>
      </c>
      <c r="T31" s="99">
        <v>0</v>
      </c>
      <c r="U31" s="104">
        <f t="shared" ref="U31:U40" si="8">U8/U$18</f>
        <v>0</v>
      </c>
      <c r="V31" s="105">
        <f>E31/E$41</f>
        <v>6.3938391807360729E-3</v>
      </c>
      <c r="W31" s="192">
        <f>F31/F$41</f>
        <v>1.026272577996716E-3</v>
      </c>
      <c r="X31" s="29"/>
    </row>
    <row r="32" spans="2:24">
      <c r="B32" s="60" t="s">
        <v>6</v>
      </c>
      <c r="C32" s="220"/>
      <c r="D32" s="61">
        <v>140</v>
      </c>
      <c r="E32" s="443">
        <v>14200</v>
      </c>
      <c r="F32" s="63">
        <v>33</v>
      </c>
      <c r="G32" s="112">
        <f t="shared" ref="G32:G41" si="9">F32*1000/E32</f>
        <v>2.323943661971831</v>
      </c>
      <c r="H32" s="113">
        <f t="shared" ref="H32:H41" si="10">D32*1000000/E32</f>
        <v>9859.1549295774639</v>
      </c>
      <c r="I32" s="130">
        <f t="shared" ref="I32:I40" si="11">1- (F32/L32)</f>
        <v>8.333333333333337E-2</v>
      </c>
      <c r="J32" s="62">
        <f>E32</f>
        <v>14200</v>
      </c>
      <c r="K32" s="369">
        <f t="shared" ref="K32:K38" si="12">F32</f>
        <v>33</v>
      </c>
      <c r="L32" s="63">
        <v>36</v>
      </c>
      <c r="M32" s="63">
        <v>36</v>
      </c>
      <c r="N32" s="63">
        <v>4</v>
      </c>
      <c r="O32" s="100">
        <f t="shared" ref="O32:O40" si="13">E32/E$41</f>
        <v>1.261007171756281E-2</v>
      </c>
      <c r="P32" s="100">
        <f t="shared" ref="P32:P40" si="14">L32/L$41</f>
        <v>7.0038910505836579E-3</v>
      </c>
      <c r="Q32" s="191">
        <f t="shared" ref="Q32:Q40" si="15">J32/J$41</f>
        <v>1.262917107279472E-2</v>
      </c>
      <c r="R32" s="101">
        <f t="shared" si="7"/>
        <v>1.1305822498586771E-3</v>
      </c>
      <c r="S32" s="102">
        <f t="shared" ref="S32:S40" si="16">M32/M$41</f>
        <v>8.5429520645467494E-3</v>
      </c>
      <c r="T32" s="99">
        <v>1</v>
      </c>
      <c r="U32" s="104">
        <f t="shared" si="8"/>
        <v>0</v>
      </c>
      <c r="V32" s="105">
        <f t="shared" ref="V32:V40" si="17">E32/E$41</f>
        <v>1.261007171756281E-2</v>
      </c>
      <c r="W32" s="192">
        <f t="shared" ref="W32:W40" si="18">F32/F$41</f>
        <v>6.7733990147783255E-3</v>
      </c>
      <c r="X32" s="29"/>
    </row>
    <row r="33" spans="2:24">
      <c r="B33" s="60" t="s">
        <v>7</v>
      </c>
      <c r="C33" s="220"/>
      <c r="D33" s="61">
        <v>5183</v>
      </c>
      <c r="E33" s="62">
        <v>1013751</v>
      </c>
      <c r="F33" s="63">
        <v>1912</v>
      </c>
      <c r="G33" s="112">
        <f t="shared" si="9"/>
        <v>1.8860647239805435</v>
      </c>
      <c r="H33" s="113">
        <f t="shared" si="10"/>
        <v>5112.6953265644124</v>
      </c>
      <c r="I33" s="130">
        <f t="shared" si="11"/>
        <v>7.7220077220077177E-2</v>
      </c>
      <c r="J33" s="62">
        <f>E33</f>
        <v>1013751</v>
      </c>
      <c r="K33" s="369">
        <f t="shared" si="12"/>
        <v>1912</v>
      </c>
      <c r="L33" s="63">
        <v>2072</v>
      </c>
      <c r="M33" s="63">
        <v>2072</v>
      </c>
      <c r="N33" s="63">
        <v>2072</v>
      </c>
      <c r="O33" s="100">
        <f t="shared" si="13"/>
        <v>0.90024456434866318</v>
      </c>
      <c r="P33" s="100">
        <f t="shared" si="14"/>
        <v>0.40311284046692608</v>
      </c>
      <c r="Q33" s="191">
        <f t="shared" si="15"/>
        <v>0.90160808480399435</v>
      </c>
      <c r="R33" s="101">
        <f t="shared" si="7"/>
        <v>0.58564160542679478</v>
      </c>
      <c r="S33" s="102">
        <f t="shared" si="16"/>
        <v>0.49169435215946844</v>
      </c>
      <c r="T33" s="99">
        <v>0</v>
      </c>
      <c r="U33" s="104">
        <f t="shared" si="8"/>
        <v>0.75219941348973585</v>
      </c>
      <c r="V33" s="105">
        <f t="shared" si="17"/>
        <v>0.90024456434866318</v>
      </c>
      <c r="W33" s="192">
        <f t="shared" si="18"/>
        <v>0.39244663382594419</v>
      </c>
      <c r="X33" s="29"/>
    </row>
    <row r="34" spans="2:24">
      <c r="B34" s="60" t="s">
        <v>8</v>
      </c>
      <c r="C34" s="220"/>
      <c r="D34" s="61">
        <v>906</v>
      </c>
      <c r="E34" s="62">
        <v>73544</v>
      </c>
      <c r="F34" s="63">
        <v>336</v>
      </c>
      <c r="G34" s="112">
        <f t="shared" si="9"/>
        <v>4.5686935711954746</v>
      </c>
      <c r="H34" s="113">
        <f t="shared" si="10"/>
        <v>12319.155879473512</v>
      </c>
      <c r="I34" s="130">
        <f t="shared" si="11"/>
        <v>4.2735042735042694E-2</v>
      </c>
      <c r="J34" s="62">
        <f>E34</f>
        <v>73544</v>
      </c>
      <c r="K34" s="369">
        <f t="shared" si="12"/>
        <v>336</v>
      </c>
      <c r="L34" s="63">
        <v>351</v>
      </c>
      <c r="M34" s="63">
        <v>351</v>
      </c>
      <c r="N34" s="63">
        <v>351</v>
      </c>
      <c r="O34" s="100">
        <f t="shared" si="13"/>
        <v>6.5309515098340792E-2</v>
      </c>
      <c r="P34" s="100">
        <f t="shared" si="14"/>
        <v>6.8287937743190655E-2</v>
      </c>
      <c r="Q34" s="191">
        <f t="shared" si="15"/>
        <v>6.5408433618141887E-2</v>
      </c>
      <c r="R34" s="101">
        <f t="shared" si="7"/>
        <v>9.9208592425098927E-2</v>
      </c>
      <c r="S34" s="102">
        <f t="shared" si="16"/>
        <v>8.3293782629330806E-2</v>
      </c>
      <c r="T34" s="99">
        <v>0</v>
      </c>
      <c r="U34" s="104">
        <f t="shared" si="8"/>
        <v>0.10850439882697945</v>
      </c>
      <c r="V34" s="105">
        <f t="shared" si="17"/>
        <v>6.5309515098340792E-2</v>
      </c>
      <c r="W34" s="192">
        <f t="shared" si="18"/>
        <v>6.8965517241379309E-2</v>
      </c>
      <c r="X34" s="29"/>
    </row>
    <row r="35" spans="2:24">
      <c r="B35" s="60" t="s">
        <v>9</v>
      </c>
      <c r="C35" s="220"/>
      <c r="D35" s="61">
        <v>1122</v>
      </c>
      <c r="E35" s="62">
        <v>12957</v>
      </c>
      <c r="F35" s="63">
        <v>554</v>
      </c>
      <c r="G35" s="112">
        <f t="shared" si="9"/>
        <v>42.756810990198346</v>
      </c>
      <c r="H35" s="113">
        <f t="shared" si="10"/>
        <v>86594.119009029862</v>
      </c>
      <c r="I35" s="130">
        <f t="shared" si="11"/>
        <v>4.3177892918825567E-2</v>
      </c>
      <c r="J35" s="62">
        <f>E35</f>
        <v>12957</v>
      </c>
      <c r="K35" s="369">
        <f t="shared" si="12"/>
        <v>554</v>
      </c>
      <c r="L35" s="63">
        <v>579</v>
      </c>
      <c r="M35" s="63">
        <v>579</v>
      </c>
      <c r="N35" s="63">
        <v>579</v>
      </c>
      <c r="O35" s="100">
        <f t="shared" si="13"/>
        <v>1.1506246425666292E-2</v>
      </c>
      <c r="P35" s="100">
        <f t="shared" si="14"/>
        <v>0.11264591439688716</v>
      </c>
      <c r="Q35" s="191">
        <f t="shared" si="15"/>
        <v>1.15236739148029E-2</v>
      </c>
      <c r="R35" s="101">
        <f t="shared" si="7"/>
        <v>0.16365178066704353</v>
      </c>
      <c r="S35" s="102">
        <f t="shared" si="16"/>
        <v>0.13739914570479356</v>
      </c>
      <c r="T35" s="99">
        <v>0</v>
      </c>
      <c r="U35" s="104">
        <f t="shared" si="8"/>
        <v>6.0117302052785905E-2</v>
      </c>
      <c r="V35" s="105">
        <f t="shared" si="17"/>
        <v>1.1506246425666292E-2</v>
      </c>
      <c r="W35" s="192">
        <f t="shared" si="18"/>
        <v>0.11371100164203612</v>
      </c>
      <c r="X35" s="29"/>
    </row>
    <row r="36" spans="2:24">
      <c r="B36" s="60" t="s">
        <v>10</v>
      </c>
      <c r="C36" s="220"/>
      <c r="D36" s="61">
        <v>1126</v>
      </c>
      <c r="E36" s="62">
        <v>2911</v>
      </c>
      <c r="F36" s="63">
        <v>490</v>
      </c>
      <c r="G36" s="112">
        <f t="shared" si="9"/>
        <v>168.32703538302988</v>
      </c>
      <c r="H36" s="113">
        <f t="shared" si="10"/>
        <v>386808.65681896254</v>
      </c>
      <c r="I36" s="130">
        <f t="shared" si="11"/>
        <v>4.4834307992202782E-2</v>
      </c>
      <c r="J36" s="444">
        <v>2620</v>
      </c>
      <c r="K36" s="369">
        <f t="shared" si="12"/>
        <v>490</v>
      </c>
      <c r="L36" s="63">
        <v>513</v>
      </c>
      <c r="M36" s="63">
        <v>513</v>
      </c>
      <c r="N36" s="63">
        <v>461</v>
      </c>
      <c r="O36" s="100">
        <f t="shared" si="13"/>
        <v>2.5850647021003763E-3</v>
      </c>
      <c r="P36" s="100">
        <f t="shared" si="14"/>
        <v>9.9805447470817127E-2</v>
      </c>
      <c r="Q36" s="191">
        <f t="shared" si="15"/>
        <v>2.330171000755082E-3</v>
      </c>
      <c r="R36" s="101">
        <f t="shared" si="7"/>
        <v>0.13029960429621254</v>
      </c>
      <c r="S36" s="102">
        <f t="shared" si="16"/>
        <v>0.12173706691979118</v>
      </c>
      <c r="T36" s="99">
        <v>0</v>
      </c>
      <c r="U36" s="104">
        <f t="shared" si="8"/>
        <v>3.5190615835777116E-2</v>
      </c>
      <c r="V36" s="105">
        <f t="shared" si="17"/>
        <v>2.5850647021003763E-3</v>
      </c>
      <c r="W36" s="192">
        <f t="shared" si="18"/>
        <v>0.10057471264367816</v>
      </c>
      <c r="X36" s="29"/>
    </row>
    <row r="37" spans="2:24">
      <c r="B37" s="60" t="s">
        <v>11</v>
      </c>
      <c r="C37" s="220"/>
      <c r="D37" s="61">
        <v>1217</v>
      </c>
      <c r="E37" s="62">
        <v>964</v>
      </c>
      <c r="F37" s="63">
        <v>467</v>
      </c>
      <c r="G37" s="112">
        <f t="shared" si="9"/>
        <v>484.43983402489624</v>
      </c>
      <c r="H37" s="113">
        <f t="shared" si="10"/>
        <v>1262448.132780083</v>
      </c>
      <c r="I37" s="130">
        <f t="shared" si="11"/>
        <v>3.3126293995859202E-2</v>
      </c>
      <c r="J37" s="444">
        <v>96</v>
      </c>
      <c r="K37" s="369">
        <f t="shared" si="12"/>
        <v>467</v>
      </c>
      <c r="L37" s="63">
        <v>483</v>
      </c>
      <c r="M37" s="63">
        <v>483</v>
      </c>
      <c r="N37" s="63">
        <v>48</v>
      </c>
      <c r="O37" s="100">
        <f t="shared" si="13"/>
        <v>8.5606402364299644E-4</v>
      </c>
      <c r="P37" s="100">
        <f t="shared" si="14"/>
        <v>9.3968871595330739E-2</v>
      </c>
      <c r="Q37" s="191">
        <f t="shared" si="15"/>
        <v>8.538031147804881E-5</v>
      </c>
      <c r="R37" s="101">
        <f t="shared" si="7"/>
        <v>1.3566986998304126E-2</v>
      </c>
      <c r="S37" s="102">
        <f t="shared" si="16"/>
        <v>0.11461794019933555</v>
      </c>
      <c r="T37" s="99">
        <v>0</v>
      </c>
      <c r="U37" s="104">
        <f t="shared" si="8"/>
        <v>1.7595307917888558E-2</v>
      </c>
      <c r="V37" s="105">
        <f t="shared" si="17"/>
        <v>8.5606402364299644E-4</v>
      </c>
      <c r="W37" s="192">
        <f t="shared" si="18"/>
        <v>9.5853858784893262E-2</v>
      </c>
      <c r="X37" s="29"/>
    </row>
    <row r="38" spans="2:24">
      <c r="B38" s="60" t="s">
        <v>12</v>
      </c>
      <c r="C38" s="220"/>
      <c r="D38" s="61">
        <v>377</v>
      </c>
      <c r="E38" s="62">
        <v>125</v>
      </c>
      <c r="F38" s="63">
        <v>168</v>
      </c>
      <c r="G38" s="112">
        <f t="shared" si="9"/>
        <v>1344</v>
      </c>
      <c r="H38" s="113">
        <f t="shared" si="10"/>
        <v>3016000</v>
      </c>
      <c r="I38" s="130">
        <f t="shared" si="11"/>
        <v>3.4482758620689613E-2</v>
      </c>
      <c r="J38" s="444">
        <v>13</v>
      </c>
      <c r="K38" s="369">
        <f t="shared" si="12"/>
        <v>168</v>
      </c>
      <c r="L38" s="63">
        <v>174</v>
      </c>
      <c r="M38" s="63">
        <v>174</v>
      </c>
      <c r="N38" s="63">
        <v>17</v>
      </c>
      <c r="O38" s="100">
        <f t="shared" si="13"/>
        <v>1.110041524433346E-4</v>
      </c>
      <c r="P38" s="100">
        <f t="shared" si="14"/>
        <v>3.3852140077821009E-2</v>
      </c>
      <c r="Q38" s="191">
        <f t="shared" si="15"/>
        <v>1.1561917179319109E-5</v>
      </c>
      <c r="R38" s="101">
        <f t="shared" si="7"/>
        <v>4.8049745618993778E-3</v>
      </c>
      <c r="S38" s="102">
        <f t="shared" si="16"/>
        <v>4.129093497864262E-2</v>
      </c>
      <c r="T38" s="99">
        <v>0</v>
      </c>
      <c r="U38" s="104">
        <f t="shared" si="8"/>
        <v>2.9325513196480934E-3</v>
      </c>
      <c r="V38" s="105">
        <f t="shared" si="17"/>
        <v>1.110041524433346E-4</v>
      </c>
      <c r="W38" s="192">
        <f t="shared" si="18"/>
        <v>3.4482758620689655E-2</v>
      </c>
      <c r="X38" s="29"/>
    </row>
    <row r="39" spans="2:24">
      <c r="B39" s="60" t="s">
        <v>13</v>
      </c>
      <c r="C39" s="220"/>
      <c r="D39" s="61">
        <v>257</v>
      </c>
      <c r="E39" s="62">
        <v>116</v>
      </c>
      <c r="F39" s="63">
        <v>63</v>
      </c>
      <c r="G39" s="112">
        <f t="shared" si="9"/>
        <v>543.10344827586209</v>
      </c>
      <c r="H39" s="113">
        <f t="shared" si="10"/>
        <v>2215517.2413793104</v>
      </c>
      <c r="I39" s="130">
        <f t="shared" si="11"/>
        <v>1.5625E-2</v>
      </c>
      <c r="J39" s="444">
        <v>0</v>
      </c>
      <c r="K39" s="369">
        <v>0</v>
      </c>
      <c r="L39" s="63">
        <v>64</v>
      </c>
      <c r="M39" s="63">
        <v>0</v>
      </c>
      <c r="N39" s="63">
        <v>0</v>
      </c>
      <c r="O39" s="100">
        <f t="shared" si="13"/>
        <v>1.0301185346741451E-4</v>
      </c>
      <c r="P39" s="100">
        <f t="shared" si="14"/>
        <v>1.2451361867704281E-2</v>
      </c>
      <c r="Q39" s="191">
        <f t="shared" si="15"/>
        <v>0</v>
      </c>
      <c r="R39" s="101">
        <f t="shared" si="7"/>
        <v>0</v>
      </c>
      <c r="S39" s="102">
        <f t="shared" si="16"/>
        <v>0</v>
      </c>
      <c r="T39" s="99">
        <v>0</v>
      </c>
      <c r="U39" s="104">
        <f t="shared" si="8"/>
        <v>5.8651026392961868E-3</v>
      </c>
      <c r="V39" s="105">
        <f t="shared" si="17"/>
        <v>1.0301185346741451E-4</v>
      </c>
      <c r="W39" s="192">
        <f t="shared" si="18"/>
        <v>1.2931034482758621E-2</v>
      </c>
      <c r="X39" s="29"/>
    </row>
    <row r="40" spans="2:24">
      <c r="B40" s="60" t="s">
        <v>14</v>
      </c>
      <c r="C40" s="220"/>
      <c r="D40" s="61">
        <v>2837</v>
      </c>
      <c r="E40" s="62">
        <v>316</v>
      </c>
      <c r="F40" s="63">
        <v>844</v>
      </c>
      <c r="G40" s="112">
        <f t="shared" si="9"/>
        <v>2670.8860759493673</v>
      </c>
      <c r="H40" s="113">
        <f t="shared" si="10"/>
        <v>8977848.1012658235</v>
      </c>
      <c r="I40" s="130">
        <f t="shared" si="11"/>
        <v>2.0881670533642649E-2</v>
      </c>
      <c r="J40" s="444">
        <v>0</v>
      </c>
      <c r="K40" s="370">
        <v>0</v>
      </c>
      <c r="L40" s="63">
        <v>862</v>
      </c>
      <c r="M40" s="63">
        <v>0</v>
      </c>
      <c r="N40" s="63">
        <v>0</v>
      </c>
      <c r="O40" s="100">
        <f t="shared" si="13"/>
        <v>2.8061849737674987E-4</v>
      </c>
      <c r="P40" s="100">
        <f t="shared" si="14"/>
        <v>0.16770428015564201</v>
      </c>
      <c r="Q40" s="191">
        <f t="shared" si="15"/>
        <v>0</v>
      </c>
      <c r="R40" s="101">
        <f t="shared" si="7"/>
        <v>0</v>
      </c>
      <c r="S40" s="102">
        <f t="shared" si="16"/>
        <v>0</v>
      </c>
      <c r="T40" s="99">
        <v>0</v>
      </c>
      <c r="U40" s="104">
        <f t="shared" si="8"/>
        <v>1.7595307917888558E-2</v>
      </c>
      <c r="V40" s="105">
        <f t="shared" si="17"/>
        <v>2.8061849737674987E-4</v>
      </c>
      <c r="W40" s="192">
        <f t="shared" si="18"/>
        <v>0.17323481116584566</v>
      </c>
      <c r="X40" s="29"/>
    </row>
    <row r="41" spans="2:24" ht="15.75" thickBot="1">
      <c r="B41" s="82" t="s">
        <v>0</v>
      </c>
      <c r="C41" s="14"/>
      <c r="D41" s="16">
        <f t="shared" ref="D41:E41" si="19">SUM(D31:D40)</f>
        <v>13198</v>
      </c>
      <c r="E41" s="17">
        <f t="shared" si="19"/>
        <v>1126084</v>
      </c>
      <c r="F41" s="18">
        <f>SUM(F31:F40)</f>
        <v>4872</v>
      </c>
      <c r="G41" s="92">
        <f t="shared" si="9"/>
        <v>4.3264978456314092</v>
      </c>
      <c r="H41" s="93">
        <f t="shared" si="10"/>
        <v>11720.262431577041</v>
      </c>
      <c r="I41" s="126"/>
      <c r="J41" s="17">
        <f>SUM(J31:J40)</f>
        <v>1124381</v>
      </c>
      <c r="K41" s="371">
        <f>SUM(K31:K40)</f>
        <v>3965</v>
      </c>
      <c r="L41" s="18">
        <f t="shared" ref="L41:N41" si="20">SUM(L31:L40)</f>
        <v>5140</v>
      </c>
      <c r="M41" s="18">
        <f t="shared" si="20"/>
        <v>4214</v>
      </c>
      <c r="N41" s="18">
        <f t="shared" si="20"/>
        <v>3538</v>
      </c>
      <c r="O41" s="106">
        <f>SUM(O31:O40)</f>
        <v>1.0000000000000002</v>
      </c>
      <c r="P41" s="106">
        <f>SUM(P31:P40)</f>
        <v>0.99999999999999989</v>
      </c>
      <c r="Q41" s="107">
        <f t="shared" ref="Q41:R41" si="21">SUM(Q31:Q40)</f>
        <v>1</v>
      </c>
      <c r="R41" s="107">
        <f t="shared" si="21"/>
        <v>1</v>
      </c>
      <c r="S41" s="108">
        <f t="shared" ref="S41" si="22">SUM(S31:S40)</f>
        <v>1</v>
      </c>
      <c r="T41" s="109">
        <f t="shared" ref="T41" si="23">SUM(T31:T40)</f>
        <v>1</v>
      </c>
      <c r="U41" s="110">
        <f t="shared" ref="U41" si="24">SUM(U31:U40)</f>
        <v>0.99999999999999967</v>
      </c>
      <c r="V41" s="111">
        <f t="shared" ref="V41" si="25">SUM(V31:V40)</f>
        <v>1.0000000000000002</v>
      </c>
      <c r="W41" s="193">
        <f t="shared" ref="W41" si="26">SUM(W31:W40)</f>
        <v>1</v>
      </c>
      <c r="X41" s="29"/>
    </row>
    <row r="42" spans="2:24" s="31" customFormat="1" ht="16.5" thickBot="1">
      <c r="B42" s="252"/>
      <c r="C42" s="267"/>
      <c r="D42" s="185" t="s">
        <v>211</v>
      </c>
      <c r="E42" s="185"/>
      <c r="F42" s="185"/>
      <c r="G42" s="253"/>
      <c r="H42" s="254"/>
      <c r="I42" s="254"/>
      <c r="J42" s="185"/>
      <c r="K42" s="255" t="s">
        <v>92</v>
      </c>
      <c r="L42" s="185"/>
      <c r="M42" s="185"/>
      <c r="N42" s="185"/>
      <c r="O42" s="188"/>
      <c r="P42" s="256"/>
      <c r="Q42" s="256"/>
      <c r="R42" s="256"/>
      <c r="S42" s="256"/>
      <c r="T42" s="256"/>
      <c r="U42" s="256"/>
      <c r="V42" s="256"/>
      <c r="W42" s="257"/>
      <c r="X42" s="29"/>
    </row>
    <row r="43" spans="2:24" s="31" customFormat="1" ht="15.75">
      <c r="B43" s="345"/>
      <c r="C43" s="27"/>
      <c r="D43" s="28"/>
      <c r="E43" s="28"/>
      <c r="F43" s="28"/>
      <c r="G43" s="114"/>
      <c r="H43" s="115"/>
      <c r="I43" s="115"/>
      <c r="J43" s="28"/>
      <c r="K43" s="244"/>
      <c r="L43" s="28"/>
      <c r="M43" s="28"/>
      <c r="N43" s="28"/>
      <c r="O43" s="95"/>
      <c r="P43" s="99"/>
      <c r="Q43" s="99"/>
      <c r="R43" s="99"/>
      <c r="S43" s="99"/>
      <c r="T43" s="99"/>
      <c r="U43" s="99"/>
      <c r="V43" s="99"/>
      <c r="W43" s="99"/>
      <c r="X43" s="29"/>
    </row>
    <row r="44" spans="2:24" s="31" customFormat="1" ht="16.5" thickBot="1">
      <c r="B44" s="345"/>
      <c r="C44" s="27"/>
      <c r="D44" s="28"/>
      <c r="E44" s="28"/>
      <c r="F44" s="28"/>
      <c r="G44" s="114"/>
      <c r="H44" s="115"/>
      <c r="I44" s="115"/>
      <c r="J44" s="28"/>
      <c r="K44" s="244"/>
      <c r="L44" s="28"/>
      <c r="M44" s="28"/>
      <c r="N44" s="28"/>
      <c r="O44" s="95"/>
      <c r="P44" s="99"/>
      <c r="Q44" s="99"/>
      <c r="R44" s="99"/>
      <c r="S44" s="99"/>
      <c r="T44" s="99"/>
      <c r="U44" s="99"/>
      <c r="V44" s="99"/>
      <c r="W44" s="99"/>
      <c r="X44" s="29"/>
    </row>
    <row r="45" spans="2:24" s="31" customFormat="1" ht="24.75" customHeight="1">
      <c r="B45" s="258" t="s">
        <v>86</v>
      </c>
      <c r="C45" s="279"/>
      <c r="D45" s="178"/>
      <c r="E45" s="178"/>
      <c r="F45" s="178"/>
      <c r="G45" s="262"/>
      <c r="H45" s="263"/>
      <c r="I45" s="263"/>
      <c r="J45" s="178"/>
      <c r="K45" s="178"/>
      <c r="L45" s="178"/>
      <c r="M45" s="178"/>
      <c r="N45" s="178"/>
      <c r="O45" s="264"/>
      <c r="P45" s="264"/>
      <c r="Q45" s="264"/>
      <c r="R45" s="264"/>
      <c r="S45" s="264"/>
      <c r="T45" s="264"/>
      <c r="U45" s="264"/>
      <c r="V45" s="264"/>
      <c r="W45" s="264"/>
      <c r="X45" s="200"/>
    </row>
    <row r="46" spans="2:24" s="31" customFormat="1" ht="9" customHeight="1">
      <c r="B46" s="280"/>
      <c r="C46" s="260"/>
      <c r="D46" s="28"/>
      <c r="E46" s="28"/>
      <c r="F46" s="28"/>
      <c r="G46" s="114"/>
      <c r="H46" s="115"/>
      <c r="I46" s="115"/>
      <c r="J46" s="28"/>
      <c r="K46" s="28"/>
      <c r="L46" s="28"/>
      <c r="M46" s="28"/>
      <c r="N46" s="28"/>
      <c r="O46" s="99"/>
      <c r="P46" s="99"/>
      <c r="Q46" s="99"/>
      <c r="R46" s="99"/>
      <c r="S46" s="99"/>
      <c r="T46" s="99"/>
      <c r="U46" s="99"/>
      <c r="V46" s="99"/>
      <c r="W46" s="99"/>
      <c r="X46" s="226"/>
    </row>
    <row r="47" spans="2:24" s="31" customFormat="1" ht="45">
      <c r="B47" s="303"/>
      <c r="C47" s="290"/>
      <c r="D47" s="291" t="s">
        <v>2</v>
      </c>
      <c r="E47" s="292" t="s">
        <v>4</v>
      </c>
      <c r="F47" s="293" t="s">
        <v>41</v>
      </c>
      <c r="G47" s="294" t="s">
        <v>26</v>
      </c>
      <c r="H47" s="295" t="s">
        <v>43</v>
      </c>
      <c r="I47" s="338"/>
      <c r="J47" s="296" t="s">
        <v>15</v>
      </c>
      <c r="K47" s="368" t="s">
        <v>88</v>
      </c>
      <c r="L47" s="293"/>
      <c r="M47" s="293"/>
      <c r="N47" s="293"/>
      <c r="O47" s="298" t="s">
        <v>28</v>
      </c>
      <c r="P47" s="298" t="s">
        <v>27</v>
      </c>
      <c r="Q47" s="299" t="s">
        <v>29</v>
      </c>
      <c r="R47" s="299" t="s">
        <v>30</v>
      </c>
      <c r="S47" s="295" t="s">
        <v>31</v>
      </c>
      <c r="T47" s="300" t="s">
        <v>76</v>
      </c>
      <c r="U47" s="301" t="s">
        <v>75</v>
      </c>
      <c r="V47" s="302" t="s">
        <v>66</v>
      </c>
      <c r="W47" s="302" t="s">
        <v>77</v>
      </c>
      <c r="X47" s="304" t="s">
        <v>35</v>
      </c>
    </row>
    <row r="48" spans="2:24" s="31" customFormat="1" ht="19.5" thickBot="1">
      <c r="B48" s="117" t="s">
        <v>78</v>
      </c>
      <c r="C48" s="268"/>
      <c r="D48" s="49"/>
      <c r="E48" s="50"/>
      <c r="F48" s="52"/>
      <c r="G48" s="128"/>
      <c r="H48" s="55"/>
      <c r="I48" s="130"/>
      <c r="J48" s="51"/>
      <c r="K48" s="369"/>
      <c r="L48" s="52"/>
      <c r="M48" s="52"/>
      <c r="N48" s="52"/>
      <c r="O48" s="330">
        <f>O25</f>
        <v>370.22999999999996</v>
      </c>
      <c r="P48" s="331">
        <f t="shared" ref="P48:W48" si="27">P25</f>
        <v>158.67000000000002</v>
      </c>
      <c r="Q48" s="332">
        <f t="shared" si="27"/>
        <v>195.85999999999996</v>
      </c>
      <c r="R48" s="332">
        <f t="shared" si="27"/>
        <v>83.94</v>
      </c>
      <c r="S48" s="333">
        <f t="shared" si="27"/>
        <v>157.1</v>
      </c>
      <c r="T48" s="334">
        <f t="shared" si="27"/>
        <v>28.1</v>
      </c>
      <c r="U48" s="335">
        <f t="shared" si="27"/>
        <v>68.200000000000017</v>
      </c>
      <c r="V48" s="336">
        <f t="shared" si="27"/>
        <v>127.61</v>
      </c>
      <c r="W48" s="336">
        <f t="shared" si="27"/>
        <v>54.690000000000012</v>
      </c>
      <c r="X48" s="337">
        <f t="shared" ref="X48:X59" si="28">SUM(O48:W48)</f>
        <v>1244.4000000000001</v>
      </c>
    </row>
    <row r="49" spans="2:25" s="31" customFormat="1">
      <c r="B49" s="60" t="s">
        <v>5</v>
      </c>
      <c r="C49" s="220"/>
      <c r="D49" s="61">
        <f>D31</f>
        <v>33</v>
      </c>
      <c r="E49" s="62">
        <f>E31</f>
        <v>7200</v>
      </c>
      <c r="F49" s="63">
        <f>F31</f>
        <v>5</v>
      </c>
      <c r="G49" s="112">
        <f>F49*1000/E49</f>
        <v>0.69444444444444442</v>
      </c>
      <c r="H49" s="113">
        <f>D49*1000000/E49</f>
        <v>4583.333333333333</v>
      </c>
      <c r="I49" s="130"/>
      <c r="J49" s="62">
        <f>J31</f>
        <v>7200</v>
      </c>
      <c r="K49" s="369">
        <f>K31</f>
        <v>5</v>
      </c>
      <c r="L49" s="63"/>
      <c r="M49" s="63"/>
      <c r="N49" s="63"/>
      <c r="O49" s="118">
        <f t="shared" ref="O49:W49" si="29">O$48*O31</f>
        <v>2.367191079883916</v>
      </c>
      <c r="P49" s="118">
        <f t="shared" si="29"/>
        <v>0.18521789883268483</v>
      </c>
      <c r="Q49" s="119">
        <f t="shared" si="29"/>
        <v>1.2541940854567977</v>
      </c>
      <c r="R49" s="119">
        <f t="shared" si="29"/>
        <v>0.14235161107970604</v>
      </c>
      <c r="S49" s="120">
        <f t="shared" si="29"/>
        <v>0.22368296155671571</v>
      </c>
      <c r="T49" s="123">
        <f t="shared" si="29"/>
        <v>0</v>
      </c>
      <c r="U49" s="121">
        <f t="shared" si="29"/>
        <v>0</v>
      </c>
      <c r="V49" s="122">
        <f t="shared" si="29"/>
        <v>0.8159178178537303</v>
      </c>
      <c r="W49" s="122">
        <f t="shared" si="29"/>
        <v>5.6126847290640408E-2</v>
      </c>
      <c r="X49" s="69">
        <f t="shared" si="28"/>
        <v>5.0446823019541904</v>
      </c>
    </row>
    <row r="50" spans="2:25" s="31" customFormat="1">
      <c r="B50" s="60" t="s">
        <v>6</v>
      </c>
      <c r="C50" s="220"/>
      <c r="D50" s="61">
        <f t="shared" ref="D50:F50" si="30">D32</f>
        <v>140</v>
      </c>
      <c r="E50" s="62">
        <f>E32</f>
        <v>14200</v>
      </c>
      <c r="F50" s="63">
        <f t="shared" si="30"/>
        <v>33</v>
      </c>
      <c r="G50" s="112">
        <f t="shared" ref="G50:G59" si="31">F50*1000/E50</f>
        <v>2.323943661971831</v>
      </c>
      <c r="H50" s="113">
        <f t="shared" ref="H50:H59" si="32">D50*1000000/E50</f>
        <v>9859.1549295774639</v>
      </c>
      <c r="I50" s="130"/>
      <c r="J50" s="62">
        <f t="shared" ref="J50:K50" si="33">J32</f>
        <v>14200</v>
      </c>
      <c r="K50" s="369">
        <f t="shared" si="33"/>
        <v>33</v>
      </c>
      <c r="L50" s="63"/>
      <c r="M50" s="63"/>
      <c r="N50" s="63"/>
      <c r="O50" s="118">
        <f t="shared" ref="O50:W50" si="34">O$48*O32</f>
        <v>4.6686268519932783</v>
      </c>
      <c r="P50" s="118">
        <f t="shared" si="34"/>
        <v>1.111307392996109</v>
      </c>
      <c r="Q50" s="119">
        <f t="shared" si="34"/>
        <v>2.4735494463175733</v>
      </c>
      <c r="R50" s="119">
        <f t="shared" si="34"/>
        <v>9.4901074053137358E-2</v>
      </c>
      <c r="S50" s="120">
        <f t="shared" si="34"/>
        <v>1.3420977693402942</v>
      </c>
      <c r="T50" s="123">
        <f t="shared" si="34"/>
        <v>28.1</v>
      </c>
      <c r="U50" s="121">
        <f t="shared" si="34"/>
        <v>0</v>
      </c>
      <c r="V50" s="122">
        <f t="shared" si="34"/>
        <v>1.6091712518781902</v>
      </c>
      <c r="W50" s="122">
        <f t="shared" si="34"/>
        <v>0.37043719211822668</v>
      </c>
      <c r="X50" s="69">
        <f t="shared" si="28"/>
        <v>39.770090978696807</v>
      </c>
    </row>
    <row r="51" spans="2:25" s="31" customFormat="1">
      <c r="B51" s="60" t="s">
        <v>7</v>
      </c>
      <c r="C51" s="220"/>
      <c r="D51" s="61">
        <f t="shared" ref="D51:F51" si="35">D33</f>
        <v>5183</v>
      </c>
      <c r="E51" s="62">
        <f t="shared" si="35"/>
        <v>1013751</v>
      </c>
      <c r="F51" s="63">
        <f t="shared" si="35"/>
        <v>1912</v>
      </c>
      <c r="G51" s="112">
        <f t="shared" si="31"/>
        <v>1.8860647239805435</v>
      </c>
      <c r="H51" s="113">
        <f t="shared" si="32"/>
        <v>5112.6953265644124</v>
      </c>
      <c r="I51" s="130"/>
      <c r="J51" s="62">
        <f t="shared" ref="J51:K51" si="36">J33</f>
        <v>1013751</v>
      </c>
      <c r="K51" s="369">
        <f t="shared" si="36"/>
        <v>1912</v>
      </c>
      <c r="L51" s="63"/>
      <c r="M51" s="63"/>
      <c r="N51" s="63"/>
      <c r="O51" s="118">
        <f t="shared" ref="O51:W51" si="37">O$48*O33</f>
        <v>333.29754505880555</v>
      </c>
      <c r="P51" s="118">
        <f t="shared" si="37"/>
        <v>63.961914396887167</v>
      </c>
      <c r="Q51" s="119">
        <f t="shared" si="37"/>
        <v>176.58895948971031</v>
      </c>
      <c r="R51" s="119">
        <f t="shared" si="37"/>
        <v>49.15875635952515</v>
      </c>
      <c r="S51" s="120">
        <f t="shared" si="37"/>
        <v>77.245182724252487</v>
      </c>
      <c r="T51" s="123">
        <f t="shared" si="37"/>
        <v>0</v>
      </c>
      <c r="U51" s="121">
        <f t="shared" si="37"/>
        <v>51.3</v>
      </c>
      <c r="V51" s="122">
        <f t="shared" si="37"/>
        <v>114.8802088565329</v>
      </c>
      <c r="W51" s="122">
        <f t="shared" si="37"/>
        <v>21.462906403940892</v>
      </c>
      <c r="X51" s="69">
        <f t="shared" si="28"/>
        <v>887.89547328965432</v>
      </c>
    </row>
    <row r="52" spans="2:25" s="31" customFormat="1">
      <c r="B52" s="60" t="s">
        <v>8</v>
      </c>
      <c r="C52" s="220"/>
      <c r="D52" s="61">
        <f t="shared" ref="D52:F52" si="38">D34</f>
        <v>906</v>
      </c>
      <c r="E52" s="62">
        <f t="shared" si="38"/>
        <v>73544</v>
      </c>
      <c r="F52" s="63">
        <f t="shared" si="38"/>
        <v>336</v>
      </c>
      <c r="G52" s="112">
        <f t="shared" si="31"/>
        <v>4.5686935711954746</v>
      </c>
      <c r="H52" s="113">
        <f t="shared" si="32"/>
        <v>12319.155879473512</v>
      </c>
      <c r="I52" s="130"/>
      <c r="J52" s="62">
        <f t="shared" ref="J52:K52" si="39">J34</f>
        <v>73544</v>
      </c>
      <c r="K52" s="369">
        <f t="shared" si="39"/>
        <v>336</v>
      </c>
      <c r="L52" s="63"/>
      <c r="M52" s="63"/>
      <c r="N52" s="63"/>
      <c r="O52" s="118">
        <f t="shared" ref="O52:W52" si="40">O$48*O34</f>
        <v>24.179541774858709</v>
      </c>
      <c r="P52" s="118">
        <f t="shared" si="40"/>
        <v>10.835247081712062</v>
      </c>
      <c r="Q52" s="119">
        <f t="shared" si="40"/>
        <v>12.810895808449267</v>
      </c>
      <c r="R52" s="119">
        <f t="shared" si="40"/>
        <v>8.3275692481628045</v>
      </c>
      <c r="S52" s="120">
        <f t="shared" si="40"/>
        <v>13.08545325106787</v>
      </c>
      <c r="T52" s="123">
        <f t="shared" si="40"/>
        <v>0</v>
      </c>
      <c r="U52" s="121">
        <f t="shared" si="40"/>
        <v>7.4</v>
      </c>
      <c r="V52" s="122">
        <f t="shared" si="40"/>
        <v>8.3341472216992685</v>
      </c>
      <c r="W52" s="122">
        <f t="shared" si="40"/>
        <v>3.7717241379310353</v>
      </c>
      <c r="X52" s="69">
        <f t="shared" si="28"/>
        <v>88.744578523881017</v>
      </c>
    </row>
    <row r="53" spans="2:25" s="31" customFormat="1">
      <c r="B53" s="60" t="s">
        <v>9</v>
      </c>
      <c r="C53" s="220"/>
      <c r="D53" s="61">
        <f t="shared" ref="D53:F53" si="41">D35</f>
        <v>1122</v>
      </c>
      <c r="E53" s="62">
        <f t="shared" si="41"/>
        <v>12957</v>
      </c>
      <c r="F53" s="63">
        <f t="shared" si="41"/>
        <v>554</v>
      </c>
      <c r="G53" s="112">
        <f t="shared" si="31"/>
        <v>42.756810990198346</v>
      </c>
      <c r="H53" s="113">
        <f t="shared" si="32"/>
        <v>86594.119009029862</v>
      </c>
      <c r="I53" s="130"/>
      <c r="J53" s="62">
        <f t="shared" ref="J53:K53" si="42">J35</f>
        <v>12957</v>
      </c>
      <c r="K53" s="369">
        <f t="shared" si="42"/>
        <v>554</v>
      </c>
      <c r="L53" s="63"/>
      <c r="M53" s="63"/>
      <c r="N53" s="63"/>
      <c r="O53" s="118">
        <f t="shared" ref="O53:W53" si="43">O$48*O35</f>
        <v>4.2599576141744304</v>
      </c>
      <c r="P53" s="118">
        <f t="shared" si="43"/>
        <v>17.873527237354089</v>
      </c>
      <c r="Q53" s="119">
        <f t="shared" si="43"/>
        <v>2.2570267729532953</v>
      </c>
      <c r="R53" s="119">
        <f t="shared" si="43"/>
        <v>13.736930469191634</v>
      </c>
      <c r="S53" s="120">
        <f t="shared" si="43"/>
        <v>21.585405790223067</v>
      </c>
      <c r="T53" s="123">
        <f t="shared" si="43"/>
        <v>0</v>
      </c>
      <c r="U53" s="121">
        <f t="shared" si="43"/>
        <v>4.0999999999999996</v>
      </c>
      <c r="V53" s="122">
        <f t="shared" si="43"/>
        <v>1.4683121063792755</v>
      </c>
      <c r="W53" s="122">
        <f t="shared" si="43"/>
        <v>6.2188546798029574</v>
      </c>
      <c r="X53" s="69">
        <f t="shared" si="28"/>
        <v>71.500014670078755</v>
      </c>
    </row>
    <row r="54" spans="2:25" s="31" customFormat="1">
      <c r="B54" s="60" t="s">
        <v>10</v>
      </c>
      <c r="C54" s="220"/>
      <c r="D54" s="61">
        <f t="shared" ref="D54:F54" si="44">D36</f>
        <v>1126</v>
      </c>
      <c r="E54" s="62">
        <f t="shared" si="44"/>
        <v>2911</v>
      </c>
      <c r="F54" s="63">
        <f t="shared" si="44"/>
        <v>490</v>
      </c>
      <c r="G54" s="112">
        <f t="shared" si="31"/>
        <v>168.32703538302988</v>
      </c>
      <c r="H54" s="113">
        <f t="shared" si="32"/>
        <v>386808.65681896254</v>
      </c>
      <c r="I54" s="130"/>
      <c r="J54" s="62">
        <f t="shared" ref="J54:K54" si="45">J36</f>
        <v>2620</v>
      </c>
      <c r="K54" s="369">
        <f t="shared" si="45"/>
        <v>490</v>
      </c>
      <c r="L54" s="63"/>
      <c r="M54" s="63"/>
      <c r="N54" s="63"/>
      <c r="O54" s="118">
        <f t="shared" ref="O54:W54" si="46">O$48*O36</f>
        <v>0.95706850465862225</v>
      </c>
      <c r="P54" s="118">
        <f t="shared" si="46"/>
        <v>15.836130350194555</v>
      </c>
      <c r="Q54" s="119">
        <f t="shared" si="46"/>
        <v>0.45638729220789026</v>
      </c>
      <c r="R54" s="119">
        <f t="shared" si="46"/>
        <v>10.93734878462408</v>
      </c>
      <c r="S54" s="120">
        <f t="shared" si="46"/>
        <v>19.124893213099192</v>
      </c>
      <c r="T54" s="123">
        <f t="shared" si="46"/>
        <v>0</v>
      </c>
      <c r="U54" s="121">
        <f t="shared" si="46"/>
        <v>2.4</v>
      </c>
      <c r="V54" s="122">
        <f t="shared" si="46"/>
        <v>0.32988010663502904</v>
      </c>
      <c r="W54" s="122">
        <f t="shared" si="46"/>
        <v>5.5004310344827596</v>
      </c>
      <c r="X54" s="69">
        <f t="shared" si="28"/>
        <v>55.542139285902124</v>
      </c>
    </row>
    <row r="55" spans="2:25" s="31" customFormat="1">
      <c r="B55" s="60" t="s">
        <v>11</v>
      </c>
      <c r="C55" s="220"/>
      <c r="D55" s="61">
        <f t="shared" ref="D55:F55" si="47">D37</f>
        <v>1217</v>
      </c>
      <c r="E55" s="62">
        <f t="shared" si="47"/>
        <v>964</v>
      </c>
      <c r="F55" s="63">
        <f t="shared" si="47"/>
        <v>467</v>
      </c>
      <c r="G55" s="112">
        <f t="shared" si="31"/>
        <v>484.43983402489624</v>
      </c>
      <c r="H55" s="113">
        <f t="shared" si="32"/>
        <v>1262448.132780083</v>
      </c>
      <c r="I55" s="130"/>
      <c r="J55" s="62">
        <f t="shared" ref="J55:K55" si="48">J37</f>
        <v>96</v>
      </c>
      <c r="K55" s="369">
        <f t="shared" si="48"/>
        <v>467</v>
      </c>
      <c r="L55" s="63"/>
      <c r="M55" s="63"/>
      <c r="N55" s="63"/>
      <c r="O55" s="118">
        <f t="shared" ref="O55:W55" si="49">O$48*O37</f>
        <v>0.31694058347334653</v>
      </c>
      <c r="P55" s="118">
        <f t="shared" si="49"/>
        <v>14.910040856031129</v>
      </c>
      <c r="Q55" s="119">
        <f t="shared" si="49"/>
        <v>1.6722587806090636E-2</v>
      </c>
      <c r="R55" s="119">
        <f t="shared" si="49"/>
        <v>1.1388128886376483</v>
      </c>
      <c r="S55" s="120">
        <f t="shared" si="49"/>
        <v>18.006478405315615</v>
      </c>
      <c r="T55" s="123">
        <f t="shared" si="49"/>
        <v>0</v>
      </c>
      <c r="U55" s="121">
        <f t="shared" si="49"/>
        <v>1.2</v>
      </c>
      <c r="V55" s="122">
        <f t="shared" si="49"/>
        <v>0.10924233005708278</v>
      </c>
      <c r="W55" s="122">
        <f t="shared" si="49"/>
        <v>5.2422475369458139</v>
      </c>
      <c r="X55" s="69">
        <f t="shared" si="28"/>
        <v>40.940485188266734</v>
      </c>
    </row>
    <row r="56" spans="2:25" s="31" customFormat="1">
      <c r="B56" s="60" t="s">
        <v>12</v>
      </c>
      <c r="C56" s="220"/>
      <c r="D56" s="61">
        <f t="shared" ref="D56:F56" si="50">D38</f>
        <v>377</v>
      </c>
      <c r="E56" s="62">
        <f t="shared" si="50"/>
        <v>125</v>
      </c>
      <c r="F56" s="63">
        <f t="shared" si="50"/>
        <v>168</v>
      </c>
      <c r="G56" s="112">
        <f t="shared" si="31"/>
        <v>1344</v>
      </c>
      <c r="H56" s="113">
        <f t="shared" si="32"/>
        <v>3016000</v>
      </c>
      <c r="I56" s="130"/>
      <c r="J56" s="62">
        <f t="shared" ref="J56:K56" si="51">J38</f>
        <v>13</v>
      </c>
      <c r="K56" s="369">
        <f t="shared" si="51"/>
        <v>168</v>
      </c>
      <c r="L56" s="63"/>
      <c r="M56" s="63"/>
      <c r="N56" s="63"/>
      <c r="O56" s="118">
        <f t="shared" ref="O56:W56" si="52">O$48*O38</f>
        <v>4.1097067359095768E-2</v>
      </c>
      <c r="P56" s="118">
        <f t="shared" si="52"/>
        <v>5.3713190661478603</v>
      </c>
      <c r="Q56" s="119">
        <f t="shared" si="52"/>
        <v>2.2645170987414401E-3</v>
      </c>
      <c r="R56" s="119">
        <f t="shared" si="52"/>
        <v>0.40332956472583376</v>
      </c>
      <c r="S56" s="120">
        <f t="shared" si="52"/>
        <v>6.4868058851447552</v>
      </c>
      <c r="T56" s="123">
        <f t="shared" si="52"/>
        <v>0</v>
      </c>
      <c r="U56" s="121">
        <f t="shared" si="52"/>
        <v>0.2</v>
      </c>
      <c r="V56" s="122">
        <f t="shared" si="52"/>
        <v>1.4165239893293928E-2</v>
      </c>
      <c r="W56" s="122">
        <f t="shared" si="52"/>
        <v>1.8858620689655177</v>
      </c>
      <c r="X56" s="69">
        <f t="shared" si="28"/>
        <v>14.404843409335099</v>
      </c>
    </row>
    <row r="57" spans="2:25" s="31" customFormat="1">
      <c r="B57" s="60" t="s">
        <v>13</v>
      </c>
      <c r="C57" s="220"/>
      <c r="D57" s="61">
        <f t="shared" ref="D57:F57" si="53">D39</f>
        <v>257</v>
      </c>
      <c r="E57" s="62">
        <f t="shared" si="53"/>
        <v>116</v>
      </c>
      <c r="F57" s="63">
        <f t="shared" si="53"/>
        <v>63</v>
      </c>
      <c r="G57" s="112">
        <f t="shared" si="31"/>
        <v>543.10344827586209</v>
      </c>
      <c r="H57" s="113">
        <f t="shared" si="32"/>
        <v>2215517.2413793104</v>
      </c>
      <c r="I57" s="130"/>
      <c r="J57" s="62">
        <f t="shared" ref="J57:K57" si="54">J39</f>
        <v>0</v>
      </c>
      <c r="K57" s="369">
        <f t="shared" si="54"/>
        <v>0</v>
      </c>
      <c r="L57" s="63"/>
      <c r="M57" s="63"/>
      <c r="N57" s="63"/>
      <c r="O57" s="118">
        <f t="shared" ref="O57:W57" si="55">O$48*O39</f>
        <v>3.8138078509240871E-2</v>
      </c>
      <c r="P57" s="118">
        <f t="shared" si="55"/>
        <v>1.9756575875486384</v>
      </c>
      <c r="Q57" s="119">
        <f t="shared" si="55"/>
        <v>0</v>
      </c>
      <c r="R57" s="119">
        <f t="shared" si="55"/>
        <v>0</v>
      </c>
      <c r="S57" s="120">
        <f t="shared" si="55"/>
        <v>0</v>
      </c>
      <c r="T57" s="123">
        <f t="shared" si="55"/>
        <v>0</v>
      </c>
      <c r="U57" s="121">
        <f t="shared" si="55"/>
        <v>0.4</v>
      </c>
      <c r="V57" s="122">
        <f t="shared" si="55"/>
        <v>1.3145342620976766E-2</v>
      </c>
      <c r="W57" s="122">
        <f t="shared" si="55"/>
        <v>0.70719827586206907</v>
      </c>
      <c r="X57" s="69">
        <f t="shared" si="28"/>
        <v>3.1341392845409248</v>
      </c>
    </row>
    <row r="58" spans="2:25" s="31" customFormat="1">
      <c r="B58" s="324" t="s">
        <v>14</v>
      </c>
      <c r="C58" s="312"/>
      <c r="D58" s="61">
        <f t="shared" ref="D58:F58" si="56">D40</f>
        <v>2837</v>
      </c>
      <c r="E58" s="62">
        <f t="shared" si="56"/>
        <v>316</v>
      </c>
      <c r="F58" s="63">
        <f t="shared" si="56"/>
        <v>844</v>
      </c>
      <c r="G58" s="316">
        <f t="shared" si="31"/>
        <v>2670.8860759493673</v>
      </c>
      <c r="H58" s="317">
        <f t="shared" si="32"/>
        <v>8977848.1012658235</v>
      </c>
      <c r="I58" s="339"/>
      <c r="J58" s="62">
        <f t="shared" ref="J58:K58" si="57">J40</f>
        <v>0</v>
      </c>
      <c r="K58" s="369">
        <f t="shared" si="57"/>
        <v>0</v>
      </c>
      <c r="L58" s="315"/>
      <c r="M58" s="315"/>
      <c r="N58" s="315"/>
      <c r="O58" s="318">
        <f t="shared" ref="O58:W58" si="58">O$48*O40</f>
        <v>0.10389338628379409</v>
      </c>
      <c r="P58" s="318">
        <f t="shared" si="58"/>
        <v>26.609638132295721</v>
      </c>
      <c r="Q58" s="340">
        <f t="shared" si="58"/>
        <v>0</v>
      </c>
      <c r="R58" s="340">
        <f t="shared" si="58"/>
        <v>0</v>
      </c>
      <c r="S58" s="341">
        <f t="shared" si="58"/>
        <v>0</v>
      </c>
      <c r="T58" s="342">
        <f t="shared" si="58"/>
        <v>0</v>
      </c>
      <c r="U58" s="343">
        <f t="shared" si="58"/>
        <v>1.2</v>
      </c>
      <c r="V58" s="344">
        <f t="shared" si="58"/>
        <v>3.5809726450247048E-2</v>
      </c>
      <c r="W58" s="344">
        <f t="shared" si="58"/>
        <v>9.4742118226601004</v>
      </c>
      <c r="X58" s="325">
        <f t="shared" si="28"/>
        <v>37.423553067689859</v>
      </c>
    </row>
    <row r="59" spans="2:25" s="31" customFormat="1" ht="15.75" thickBot="1">
      <c r="B59" s="82" t="s">
        <v>0</v>
      </c>
      <c r="C59" s="14"/>
      <c r="D59" s="16">
        <f t="shared" ref="D59:E59" si="59">SUM(D49:D58)</f>
        <v>13198</v>
      </c>
      <c r="E59" s="17">
        <f t="shared" si="59"/>
        <v>1126084</v>
      </c>
      <c r="F59" s="18">
        <f>SUM(F49:F58)</f>
        <v>4872</v>
      </c>
      <c r="G59" s="92">
        <f t="shared" si="31"/>
        <v>4.3264978456314092</v>
      </c>
      <c r="H59" s="93">
        <f t="shared" si="32"/>
        <v>11720.262431577041</v>
      </c>
      <c r="I59" s="126"/>
      <c r="J59" s="17">
        <f>SUM(J49:J58)</f>
        <v>1124381</v>
      </c>
      <c r="K59" s="140">
        <f>SUM(K49:K58)</f>
        <v>3965</v>
      </c>
      <c r="L59" s="18"/>
      <c r="M59" s="18"/>
      <c r="N59" s="18"/>
      <c r="O59" s="19">
        <f t="shared" ref="O59:V59" si="60">SUM(O49:O58)</f>
        <v>370.23</v>
      </c>
      <c r="P59" s="19">
        <f t="shared" si="60"/>
        <v>158.67000000000002</v>
      </c>
      <c r="Q59" s="20">
        <f t="shared" si="60"/>
        <v>195.85999999999996</v>
      </c>
      <c r="R59" s="20">
        <f t="shared" si="60"/>
        <v>83.94</v>
      </c>
      <c r="S59" s="21">
        <f t="shared" si="60"/>
        <v>157.1</v>
      </c>
      <c r="T59" s="22">
        <f t="shared" si="60"/>
        <v>28.1</v>
      </c>
      <c r="U59" s="23">
        <f t="shared" si="60"/>
        <v>68.200000000000017</v>
      </c>
      <c r="V59" s="24">
        <f t="shared" si="60"/>
        <v>127.61</v>
      </c>
      <c r="W59" s="24">
        <f t="shared" ref="W59" si="61">SUM(W49:W58)</f>
        <v>54.690000000000005</v>
      </c>
      <c r="X59" s="83">
        <f t="shared" si="28"/>
        <v>1244.4000000000001</v>
      </c>
    </row>
    <row r="60" spans="2:25" s="95" customFormat="1">
      <c r="B60" s="27"/>
      <c r="C60" s="27"/>
      <c r="D60" s="28"/>
      <c r="E60" s="28"/>
      <c r="F60" s="28"/>
      <c r="G60" s="114"/>
      <c r="H60" s="115"/>
      <c r="I60" s="115"/>
      <c r="J60" s="28"/>
      <c r="K60" s="28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30"/>
    </row>
    <row r="61" spans="2:25" s="95" customFormat="1" ht="15.75" thickBot="1">
      <c r="B61" s="27"/>
      <c r="C61" s="27"/>
      <c r="D61" s="28"/>
      <c r="E61" s="28"/>
      <c r="F61" s="28"/>
      <c r="G61" s="114"/>
      <c r="H61" s="115"/>
      <c r="I61" s="115"/>
      <c r="J61" s="28"/>
      <c r="K61" s="28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30"/>
    </row>
    <row r="62" spans="2:25" s="31" customFormat="1" ht="18.75">
      <c r="B62" s="258" t="s">
        <v>87</v>
      </c>
      <c r="C62" s="279"/>
      <c r="D62" s="178"/>
      <c r="E62" s="178"/>
      <c r="F62" s="178"/>
      <c r="G62" s="262"/>
      <c r="H62" s="263"/>
      <c r="I62" s="263"/>
      <c r="J62" s="178"/>
      <c r="K62" s="178"/>
      <c r="L62" s="178"/>
      <c r="M62" s="178"/>
      <c r="N62" s="178"/>
      <c r="O62" s="264"/>
      <c r="P62" s="264"/>
      <c r="Q62" s="264"/>
      <c r="R62" s="264"/>
      <c r="S62" s="264"/>
      <c r="T62" s="264"/>
      <c r="U62" s="264"/>
      <c r="V62" s="264"/>
      <c r="W62" s="264"/>
      <c r="X62" s="251"/>
      <c r="Y62" s="265"/>
    </row>
    <row r="63" spans="2:25" s="31" customFormat="1" ht="11.25" customHeight="1">
      <c r="B63" s="280"/>
      <c r="C63" s="260"/>
      <c r="D63" s="28"/>
      <c r="E63" s="28"/>
      <c r="F63" s="28"/>
      <c r="G63" s="114"/>
      <c r="H63" s="115"/>
      <c r="I63" s="115"/>
      <c r="J63" s="28"/>
      <c r="K63" s="28"/>
      <c r="L63" s="28"/>
      <c r="M63" s="28"/>
      <c r="N63" s="28"/>
      <c r="O63" s="99"/>
      <c r="P63" s="99"/>
      <c r="Q63" s="99"/>
      <c r="R63" s="99"/>
      <c r="S63" s="99"/>
      <c r="T63" s="99"/>
      <c r="U63" s="99"/>
      <c r="V63" s="99"/>
      <c r="W63" s="99"/>
      <c r="X63" s="29"/>
      <c r="Y63" s="281"/>
    </row>
    <row r="64" spans="2:25" s="31" customFormat="1" ht="60">
      <c r="B64" s="44"/>
      <c r="C64" s="45"/>
      <c r="D64" s="49" t="s">
        <v>2</v>
      </c>
      <c r="E64" s="50" t="s">
        <v>4</v>
      </c>
      <c r="F64" s="52" t="s">
        <v>79</v>
      </c>
      <c r="G64" s="128" t="s">
        <v>26</v>
      </c>
      <c r="H64" s="55" t="s">
        <v>43</v>
      </c>
      <c r="I64" s="129"/>
      <c r="J64" s="51" t="s">
        <v>15</v>
      </c>
      <c r="K64" s="368" t="s">
        <v>80</v>
      </c>
      <c r="L64" s="285"/>
      <c r="M64" s="261"/>
      <c r="N64" s="261"/>
      <c r="O64" s="53" t="s">
        <v>21</v>
      </c>
      <c r="P64" s="53" t="s">
        <v>142</v>
      </c>
      <c r="Q64" s="54" t="s">
        <v>22</v>
      </c>
      <c r="R64" s="54" t="s">
        <v>143</v>
      </c>
      <c r="S64" s="55" t="s">
        <v>144</v>
      </c>
      <c r="T64" s="56" t="s">
        <v>81</v>
      </c>
      <c r="U64" s="57" t="s">
        <v>23</v>
      </c>
      <c r="V64" s="58" t="s">
        <v>58</v>
      </c>
      <c r="W64" s="58" t="s">
        <v>145</v>
      </c>
      <c r="X64" s="103" t="s">
        <v>83</v>
      </c>
      <c r="Y64" s="282" t="s">
        <v>146</v>
      </c>
    </row>
    <row r="65" spans="2:25" s="31" customFormat="1">
      <c r="B65" s="60" t="s">
        <v>5</v>
      </c>
      <c r="C65" s="220"/>
      <c r="D65" s="61">
        <f>D31</f>
        <v>33</v>
      </c>
      <c r="E65" s="62">
        <f>E31</f>
        <v>7200</v>
      </c>
      <c r="F65" s="63">
        <f>F31</f>
        <v>5</v>
      </c>
      <c r="G65" s="112">
        <f>F65*1000/E65</f>
        <v>0.69444444444444442</v>
      </c>
      <c r="H65" s="113">
        <f>D65*1000000/E65</f>
        <v>4583.333333333333</v>
      </c>
      <c r="I65" s="130"/>
      <c r="J65" s="62">
        <f>J31</f>
        <v>7200</v>
      </c>
      <c r="K65" s="369">
        <f>K31</f>
        <v>5</v>
      </c>
      <c r="L65" s="285"/>
      <c r="M65" s="261"/>
      <c r="N65" s="261"/>
      <c r="O65" s="124">
        <f t="shared" ref="O65:O75" si="62">O49/E65*1000000</f>
        <v>328.77653887276608</v>
      </c>
      <c r="P65" s="124">
        <f t="shared" ref="P65:P75" si="63">P49/F65*1000</f>
        <v>37.043579766536965</v>
      </c>
      <c r="Q65" s="124">
        <f t="shared" ref="Q65:Q72" si="64">Q49/J65*1000000</f>
        <v>174.19362298011077</v>
      </c>
      <c r="R65" s="124">
        <f t="shared" ref="R65:R72" si="65">R49/K65*1000</f>
        <v>28.470322215941209</v>
      </c>
      <c r="S65" s="124">
        <f t="shared" ref="S65:S72" si="66">S49/K65*1000</f>
        <v>44.736592311343145</v>
      </c>
      <c r="T65" s="124">
        <f t="shared" ref="T65:T74" si="67">T49/E65*1000000</f>
        <v>0</v>
      </c>
      <c r="U65" s="124">
        <f t="shared" ref="U65:U75" si="68">U49/E65*1000000</f>
        <v>0</v>
      </c>
      <c r="V65" s="124">
        <f t="shared" ref="V65:V75" si="69">V49/E65*1000000</f>
        <v>113.32191914635143</v>
      </c>
      <c r="W65" s="124">
        <f t="shared" ref="W65:W75" si="70">W49/F65*1000</f>
        <v>11.225369458128082</v>
      </c>
      <c r="X65" s="29">
        <f>O65+Q65+T65+U65+V65</f>
        <v>616.29208099922835</v>
      </c>
      <c r="Y65" s="187">
        <f>P65+R65+S65+W65</f>
        <v>121.4758637519494</v>
      </c>
    </row>
    <row r="66" spans="2:25" s="31" customFormat="1">
      <c r="B66" s="60" t="s">
        <v>6</v>
      </c>
      <c r="C66" s="220"/>
      <c r="D66" s="61">
        <f t="shared" ref="D66:D74" si="71">D32</f>
        <v>140</v>
      </c>
      <c r="E66" s="62">
        <f t="shared" ref="E66:F74" si="72">E32</f>
        <v>14200</v>
      </c>
      <c r="F66" s="63">
        <f t="shared" si="72"/>
        <v>33</v>
      </c>
      <c r="G66" s="112">
        <f t="shared" ref="G66:G75" si="73">F66*1000/E66</f>
        <v>2.323943661971831</v>
      </c>
      <c r="H66" s="113">
        <f t="shared" ref="H66:H75" si="74">D66*1000000/E66</f>
        <v>9859.1549295774639</v>
      </c>
      <c r="I66" s="130"/>
      <c r="J66" s="62">
        <f t="shared" ref="J66:K66" si="75">J32</f>
        <v>14200</v>
      </c>
      <c r="K66" s="369">
        <f t="shared" si="75"/>
        <v>33</v>
      </c>
      <c r="L66" s="285"/>
      <c r="M66" s="261"/>
      <c r="N66" s="261"/>
      <c r="O66" s="124">
        <f t="shared" si="62"/>
        <v>328.77653887276608</v>
      </c>
      <c r="P66" s="124">
        <f t="shared" si="63"/>
        <v>33.675981605942702</v>
      </c>
      <c r="Q66" s="124">
        <f t="shared" si="64"/>
        <v>174.1936229801108</v>
      </c>
      <c r="R66" s="124">
        <f t="shared" si="65"/>
        <v>2.8757901228223441</v>
      </c>
      <c r="S66" s="124">
        <f t="shared" si="66"/>
        <v>40.669629373948311</v>
      </c>
      <c r="T66" s="124">
        <f t="shared" si="67"/>
        <v>1978.8732394366198</v>
      </c>
      <c r="U66" s="124">
        <f t="shared" si="68"/>
        <v>0</v>
      </c>
      <c r="V66" s="124">
        <f t="shared" si="69"/>
        <v>113.32191914635142</v>
      </c>
      <c r="W66" s="124">
        <f t="shared" si="70"/>
        <v>11.225369458128082</v>
      </c>
      <c r="X66" s="29">
        <f t="shared" ref="X66:X75" si="76">O66+Q66+T66+U66+V66</f>
        <v>2595.1653204358481</v>
      </c>
      <c r="Y66" s="187">
        <f t="shared" ref="Y66:Y75" si="77">P66+R66+S66+W66</f>
        <v>88.446770560841443</v>
      </c>
    </row>
    <row r="67" spans="2:25" s="31" customFormat="1">
      <c r="B67" s="60" t="s">
        <v>7</v>
      </c>
      <c r="C67" s="220"/>
      <c r="D67" s="61">
        <f t="shared" si="71"/>
        <v>5183</v>
      </c>
      <c r="E67" s="62">
        <f t="shared" si="72"/>
        <v>1013751</v>
      </c>
      <c r="F67" s="63">
        <f t="shared" si="72"/>
        <v>1912</v>
      </c>
      <c r="G67" s="112">
        <f t="shared" si="73"/>
        <v>1.8860647239805435</v>
      </c>
      <c r="H67" s="113">
        <f t="shared" si="74"/>
        <v>5112.6953265644124</v>
      </c>
      <c r="I67" s="130"/>
      <c r="J67" s="62">
        <f t="shared" ref="J67:K67" si="78">J33</f>
        <v>1013751</v>
      </c>
      <c r="K67" s="369">
        <f t="shared" si="78"/>
        <v>1912</v>
      </c>
      <c r="L67" s="285"/>
      <c r="M67" s="261"/>
      <c r="N67" s="261"/>
      <c r="O67" s="124">
        <f t="shared" si="62"/>
        <v>328.77653887276614</v>
      </c>
      <c r="P67" s="124">
        <f t="shared" si="63"/>
        <v>33.452884098790364</v>
      </c>
      <c r="Q67" s="124">
        <f t="shared" si="64"/>
        <v>174.1936229801108</v>
      </c>
      <c r="R67" s="124">
        <f t="shared" si="65"/>
        <v>25.710646631550812</v>
      </c>
      <c r="S67" s="124">
        <f t="shared" si="66"/>
        <v>40.400200169588118</v>
      </c>
      <c r="T67" s="124">
        <f t="shared" si="67"/>
        <v>0</v>
      </c>
      <c r="U67" s="124">
        <f t="shared" si="68"/>
        <v>50.604142437344073</v>
      </c>
      <c r="V67" s="124">
        <f t="shared" si="69"/>
        <v>113.32191914635142</v>
      </c>
      <c r="W67" s="124">
        <f t="shared" si="70"/>
        <v>11.225369458128082</v>
      </c>
      <c r="X67" s="29">
        <f t="shared" si="76"/>
        <v>666.89622343657243</v>
      </c>
      <c r="Y67" s="187">
        <f t="shared" si="77"/>
        <v>110.78910035805738</v>
      </c>
    </row>
    <row r="68" spans="2:25" s="31" customFormat="1">
      <c r="B68" s="60" t="s">
        <v>8</v>
      </c>
      <c r="C68" s="220"/>
      <c r="D68" s="61">
        <f t="shared" si="71"/>
        <v>906</v>
      </c>
      <c r="E68" s="62">
        <f t="shared" si="72"/>
        <v>73544</v>
      </c>
      <c r="F68" s="63">
        <f t="shared" si="72"/>
        <v>336</v>
      </c>
      <c r="G68" s="112">
        <f t="shared" si="73"/>
        <v>4.5686935711954746</v>
      </c>
      <c r="H68" s="113">
        <f t="shared" si="74"/>
        <v>12319.155879473512</v>
      </c>
      <c r="I68" s="130"/>
      <c r="J68" s="62">
        <f t="shared" ref="J68:K68" si="79">J34</f>
        <v>73544</v>
      </c>
      <c r="K68" s="369">
        <f t="shared" si="79"/>
        <v>336</v>
      </c>
      <c r="L68" s="285"/>
      <c r="M68" s="261"/>
      <c r="N68" s="261"/>
      <c r="O68" s="124">
        <f t="shared" si="62"/>
        <v>328.77653887276608</v>
      </c>
      <c r="P68" s="124">
        <f t="shared" si="63"/>
        <v>32.247759171762091</v>
      </c>
      <c r="Q68" s="124">
        <f t="shared" si="64"/>
        <v>174.19362298011077</v>
      </c>
      <c r="R68" s="124">
        <f t="shared" si="65"/>
        <v>24.784432286198825</v>
      </c>
      <c r="S68" s="124">
        <f t="shared" si="66"/>
        <v>38.944801342463897</v>
      </c>
      <c r="T68" s="124">
        <f t="shared" si="67"/>
        <v>0</v>
      </c>
      <c r="U68" s="124">
        <f t="shared" si="68"/>
        <v>100.62003698466225</v>
      </c>
      <c r="V68" s="124">
        <f t="shared" si="69"/>
        <v>113.32191914635142</v>
      </c>
      <c r="W68" s="124">
        <f t="shared" si="70"/>
        <v>11.225369458128082</v>
      </c>
      <c r="X68" s="29">
        <f t="shared" si="76"/>
        <v>716.91211798389054</v>
      </c>
      <c r="Y68" s="187">
        <f t="shared" si="77"/>
        <v>107.20236225855291</v>
      </c>
    </row>
    <row r="69" spans="2:25" s="31" customFormat="1">
      <c r="B69" s="60" t="s">
        <v>9</v>
      </c>
      <c r="C69" s="220"/>
      <c r="D69" s="61">
        <f t="shared" si="71"/>
        <v>1122</v>
      </c>
      <c r="E69" s="62">
        <f t="shared" si="72"/>
        <v>12957</v>
      </c>
      <c r="F69" s="63">
        <f t="shared" si="72"/>
        <v>554</v>
      </c>
      <c r="G69" s="112">
        <f t="shared" si="73"/>
        <v>42.756810990198346</v>
      </c>
      <c r="H69" s="113">
        <f t="shared" si="74"/>
        <v>86594.119009029862</v>
      </c>
      <c r="I69" s="130"/>
      <c r="J69" s="62">
        <f t="shared" ref="J69:K69" si="80">J35</f>
        <v>12957</v>
      </c>
      <c r="K69" s="369">
        <f t="shared" si="80"/>
        <v>554</v>
      </c>
      <c r="L69" s="285"/>
      <c r="M69" s="261"/>
      <c r="N69" s="261"/>
      <c r="O69" s="124">
        <f t="shared" si="62"/>
        <v>328.77653887276608</v>
      </c>
      <c r="P69" s="124">
        <f t="shared" si="63"/>
        <v>32.262684543960454</v>
      </c>
      <c r="Q69" s="124">
        <f t="shared" si="64"/>
        <v>174.19362298011077</v>
      </c>
      <c r="R69" s="124">
        <f t="shared" si="65"/>
        <v>24.795903373992118</v>
      </c>
      <c r="S69" s="124">
        <f t="shared" si="66"/>
        <v>38.962826336142726</v>
      </c>
      <c r="T69" s="124">
        <f t="shared" si="67"/>
        <v>0</v>
      </c>
      <c r="U69" s="124">
        <f t="shared" si="68"/>
        <v>316.43127267114301</v>
      </c>
      <c r="V69" s="124">
        <f t="shared" si="69"/>
        <v>113.32191914635143</v>
      </c>
      <c r="W69" s="124">
        <f t="shared" si="70"/>
        <v>11.225369458128082</v>
      </c>
      <c r="X69" s="29">
        <f t="shared" si="76"/>
        <v>932.72335367037124</v>
      </c>
      <c r="Y69" s="187">
        <f t="shared" si="77"/>
        <v>107.24678371222339</v>
      </c>
    </row>
    <row r="70" spans="2:25" s="31" customFormat="1">
      <c r="B70" s="60" t="s">
        <v>10</v>
      </c>
      <c r="C70" s="220"/>
      <c r="D70" s="61">
        <f t="shared" si="71"/>
        <v>1126</v>
      </c>
      <c r="E70" s="62">
        <f t="shared" si="72"/>
        <v>2911</v>
      </c>
      <c r="F70" s="63">
        <f t="shared" si="72"/>
        <v>490</v>
      </c>
      <c r="G70" s="112">
        <f t="shared" si="73"/>
        <v>168.32703538302988</v>
      </c>
      <c r="H70" s="113">
        <f t="shared" si="74"/>
        <v>386808.65681896254</v>
      </c>
      <c r="I70" s="130"/>
      <c r="J70" s="62">
        <f t="shared" ref="J70:K70" si="81">J36</f>
        <v>2620</v>
      </c>
      <c r="K70" s="369">
        <f t="shared" si="81"/>
        <v>490</v>
      </c>
      <c r="L70" s="285"/>
      <c r="M70" s="261"/>
      <c r="N70" s="261"/>
      <c r="O70" s="124">
        <f t="shared" si="62"/>
        <v>328.77653887276614</v>
      </c>
      <c r="P70" s="124">
        <f t="shared" si="63"/>
        <v>32.318633367743985</v>
      </c>
      <c r="Q70" s="124">
        <f t="shared" si="64"/>
        <v>174.19362298011077</v>
      </c>
      <c r="R70" s="124">
        <f t="shared" si="65"/>
        <v>22.321119968620568</v>
      </c>
      <c r="S70" s="124">
        <f t="shared" si="66"/>
        <v>39.030394312447328</v>
      </c>
      <c r="T70" s="124">
        <f t="shared" si="67"/>
        <v>0</v>
      </c>
      <c r="U70" s="124">
        <f t="shared" si="68"/>
        <v>824.45894881484026</v>
      </c>
      <c r="V70" s="124">
        <f t="shared" si="69"/>
        <v>113.32191914635143</v>
      </c>
      <c r="W70" s="124">
        <f t="shared" si="70"/>
        <v>11.225369458128082</v>
      </c>
      <c r="X70" s="29">
        <f t="shared" si="76"/>
        <v>1440.7510298140687</v>
      </c>
      <c r="Y70" s="187">
        <f t="shared" si="77"/>
        <v>104.89551710693996</v>
      </c>
    </row>
    <row r="71" spans="2:25" s="31" customFormat="1">
      <c r="B71" s="60" t="s">
        <v>11</v>
      </c>
      <c r="C71" s="220"/>
      <c r="D71" s="61">
        <f t="shared" si="71"/>
        <v>1217</v>
      </c>
      <c r="E71" s="62">
        <f t="shared" si="72"/>
        <v>964</v>
      </c>
      <c r="F71" s="63">
        <f t="shared" si="72"/>
        <v>467</v>
      </c>
      <c r="G71" s="112">
        <f t="shared" si="73"/>
        <v>484.43983402489624</v>
      </c>
      <c r="H71" s="113">
        <f t="shared" si="74"/>
        <v>1262448.132780083</v>
      </c>
      <c r="I71" s="130"/>
      <c r="J71" s="62">
        <f t="shared" ref="J71:K71" si="82">J37</f>
        <v>96</v>
      </c>
      <c r="K71" s="369">
        <f t="shared" si="82"/>
        <v>467</v>
      </c>
      <c r="L71" s="285"/>
      <c r="M71" s="261"/>
      <c r="N71" s="261"/>
      <c r="O71" s="124">
        <f t="shared" si="62"/>
        <v>328.77653887276608</v>
      </c>
      <c r="P71" s="124">
        <f t="shared" si="63"/>
        <v>31.927282346961732</v>
      </c>
      <c r="Q71" s="124">
        <f t="shared" si="64"/>
        <v>174.19362298011077</v>
      </c>
      <c r="R71" s="124">
        <f t="shared" si="65"/>
        <v>2.4385714960120946</v>
      </c>
      <c r="S71" s="124">
        <f t="shared" si="66"/>
        <v>38.557769604530222</v>
      </c>
      <c r="T71" s="124">
        <f t="shared" si="67"/>
        <v>0</v>
      </c>
      <c r="U71" s="124">
        <f t="shared" si="68"/>
        <v>1244.8132780082988</v>
      </c>
      <c r="V71" s="124">
        <f t="shared" si="69"/>
        <v>113.32191914635143</v>
      </c>
      <c r="W71" s="124">
        <f t="shared" si="70"/>
        <v>11.225369458128082</v>
      </c>
      <c r="X71" s="29">
        <f t="shared" si="76"/>
        <v>1861.1053590075271</v>
      </c>
      <c r="Y71" s="187">
        <f t="shared" si="77"/>
        <v>84.148992905632127</v>
      </c>
    </row>
    <row r="72" spans="2:25" s="31" customFormat="1">
      <c r="B72" s="60" t="s">
        <v>12</v>
      </c>
      <c r="C72" s="220"/>
      <c r="D72" s="61">
        <f t="shared" si="71"/>
        <v>377</v>
      </c>
      <c r="E72" s="62">
        <f t="shared" si="72"/>
        <v>125</v>
      </c>
      <c r="F72" s="63">
        <f t="shared" si="72"/>
        <v>168</v>
      </c>
      <c r="G72" s="112">
        <f t="shared" si="73"/>
        <v>1344</v>
      </c>
      <c r="H72" s="113">
        <f t="shared" si="74"/>
        <v>3016000</v>
      </c>
      <c r="I72" s="130"/>
      <c r="J72" s="62">
        <f t="shared" ref="J72:K72" si="83">J38</f>
        <v>13</v>
      </c>
      <c r="K72" s="369">
        <f t="shared" si="83"/>
        <v>168</v>
      </c>
      <c r="L72" s="285"/>
      <c r="M72" s="261"/>
      <c r="N72" s="261"/>
      <c r="O72" s="124">
        <f t="shared" si="62"/>
        <v>328.77653887276614</v>
      </c>
      <c r="P72" s="124">
        <f t="shared" si="63"/>
        <v>31.972137298499167</v>
      </c>
      <c r="Q72" s="124">
        <f t="shared" si="64"/>
        <v>174.19362298011077</v>
      </c>
      <c r="R72" s="124">
        <f t="shared" si="65"/>
        <v>2.4007712186061534</v>
      </c>
      <c r="S72" s="124">
        <f t="shared" si="66"/>
        <v>38.611939792528304</v>
      </c>
      <c r="T72" s="124">
        <f t="shared" si="67"/>
        <v>0</v>
      </c>
      <c r="U72" s="124">
        <f t="shared" si="68"/>
        <v>1600</v>
      </c>
      <c r="V72" s="124">
        <f t="shared" si="69"/>
        <v>113.32191914635142</v>
      </c>
      <c r="W72" s="124">
        <f t="shared" si="70"/>
        <v>11.225369458128082</v>
      </c>
      <c r="X72" s="29">
        <f t="shared" si="76"/>
        <v>2216.2920809992283</v>
      </c>
      <c r="Y72" s="187">
        <f t="shared" si="77"/>
        <v>84.210217767761719</v>
      </c>
    </row>
    <row r="73" spans="2:25" s="31" customFormat="1">
      <c r="B73" s="60" t="s">
        <v>13</v>
      </c>
      <c r="C73" s="220"/>
      <c r="D73" s="61">
        <f t="shared" si="71"/>
        <v>257</v>
      </c>
      <c r="E73" s="62">
        <f t="shared" si="72"/>
        <v>116</v>
      </c>
      <c r="F73" s="63">
        <f t="shared" si="72"/>
        <v>63</v>
      </c>
      <c r="G73" s="112">
        <f t="shared" si="73"/>
        <v>543.10344827586209</v>
      </c>
      <c r="H73" s="113">
        <f t="shared" si="74"/>
        <v>2215517.2413793104</v>
      </c>
      <c r="I73" s="130"/>
      <c r="J73" s="62">
        <f t="shared" ref="J73:K73" si="84">J39</f>
        <v>0</v>
      </c>
      <c r="K73" s="369">
        <f t="shared" si="84"/>
        <v>0</v>
      </c>
      <c r="L73" s="285"/>
      <c r="M73" s="261"/>
      <c r="N73" s="261"/>
      <c r="O73" s="124">
        <f t="shared" si="62"/>
        <v>328.77653887276614</v>
      </c>
      <c r="P73" s="124">
        <f t="shared" si="63"/>
        <v>31.359644246803786</v>
      </c>
      <c r="Q73" s="124">
        <v>0</v>
      </c>
      <c r="R73" s="124">
        <v>0</v>
      </c>
      <c r="S73" s="124">
        <v>0</v>
      </c>
      <c r="T73" s="124">
        <f t="shared" si="67"/>
        <v>0</v>
      </c>
      <c r="U73" s="124">
        <f t="shared" si="68"/>
        <v>3448.275862068966</v>
      </c>
      <c r="V73" s="124">
        <f t="shared" si="69"/>
        <v>113.32191914635143</v>
      </c>
      <c r="W73" s="124">
        <f t="shared" si="70"/>
        <v>11.225369458128082</v>
      </c>
      <c r="X73" s="29">
        <f t="shared" si="76"/>
        <v>3890.3743200880836</v>
      </c>
      <c r="Y73" s="187">
        <f t="shared" si="77"/>
        <v>42.585013704931868</v>
      </c>
    </row>
    <row r="74" spans="2:25" s="31" customFormat="1">
      <c r="B74" s="60" t="s">
        <v>14</v>
      </c>
      <c r="C74" s="220"/>
      <c r="D74" s="61">
        <f t="shared" si="71"/>
        <v>2837</v>
      </c>
      <c r="E74" s="62">
        <f t="shared" si="72"/>
        <v>316</v>
      </c>
      <c r="F74" s="63">
        <f t="shared" si="72"/>
        <v>844</v>
      </c>
      <c r="G74" s="112">
        <f t="shared" si="73"/>
        <v>2670.8860759493673</v>
      </c>
      <c r="H74" s="113">
        <f t="shared" si="74"/>
        <v>8977848.1012658235</v>
      </c>
      <c r="I74" s="130"/>
      <c r="J74" s="62">
        <f t="shared" ref="J74:K74" si="85">J40</f>
        <v>0</v>
      </c>
      <c r="K74" s="369">
        <f t="shared" si="85"/>
        <v>0</v>
      </c>
      <c r="L74" s="285"/>
      <c r="M74" s="261"/>
      <c r="N74" s="261"/>
      <c r="O74" s="124">
        <f t="shared" si="62"/>
        <v>328.77653887276608</v>
      </c>
      <c r="P74" s="124">
        <f t="shared" si="63"/>
        <v>31.528007265753221</v>
      </c>
      <c r="Q74" s="124">
        <v>0</v>
      </c>
      <c r="R74" s="124">
        <v>0</v>
      </c>
      <c r="S74" s="124">
        <v>0</v>
      </c>
      <c r="T74" s="124">
        <f t="shared" si="67"/>
        <v>0</v>
      </c>
      <c r="U74" s="124">
        <f t="shared" si="68"/>
        <v>3797.4683544303798</v>
      </c>
      <c r="V74" s="124">
        <f t="shared" si="69"/>
        <v>113.32191914635142</v>
      </c>
      <c r="W74" s="124">
        <f t="shared" si="70"/>
        <v>11.225369458128082</v>
      </c>
      <c r="X74" s="29">
        <f t="shared" si="76"/>
        <v>4239.5668124494969</v>
      </c>
      <c r="Y74" s="187">
        <f t="shared" si="77"/>
        <v>42.753376723881303</v>
      </c>
    </row>
    <row r="75" spans="2:25" s="31" customFormat="1" ht="15.75" thickBot="1">
      <c r="B75" s="82" t="s">
        <v>0</v>
      </c>
      <c r="C75" s="14"/>
      <c r="D75" s="16">
        <f t="shared" ref="D75:E75" si="86">SUM(D65:D74)</f>
        <v>13198</v>
      </c>
      <c r="E75" s="17">
        <f t="shared" si="86"/>
        <v>1126084</v>
      </c>
      <c r="F75" s="18">
        <f>SUM(F65:F74)</f>
        <v>4872</v>
      </c>
      <c r="G75" s="92">
        <f t="shared" si="73"/>
        <v>4.3264978456314092</v>
      </c>
      <c r="H75" s="93">
        <f t="shared" si="74"/>
        <v>11720.262431577041</v>
      </c>
      <c r="I75" s="126"/>
      <c r="J75" s="17">
        <f>SUM(J65:J74)</f>
        <v>1124381</v>
      </c>
      <c r="K75" s="371">
        <f>SUM(K65:K74)</f>
        <v>3965</v>
      </c>
      <c r="L75" s="286"/>
      <c r="M75" s="18"/>
      <c r="N75" s="326" t="s">
        <v>24</v>
      </c>
      <c r="O75" s="125">
        <f t="shared" si="62"/>
        <v>328.77653887276614</v>
      </c>
      <c r="P75" s="125">
        <f t="shared" si="63"/>
        <v>32.567733990147786</v>
      </c>
      <c r="Q75" s="125">
        <f>Q59/J75*1000000</f>
        <v>174.1936229801108</v>
      </c>
      <c r="R75" s="125">
        <f>R59/K75*1000</f>
        <v>21.170239596469102</v>
      </c>
      <c r="S75" s="125">
        <f>S59/K75*1000</f>
        <v>39.621689785624213</v>
      </c>
      <c r="T75" s="125">
        <v>0</v>
      </c>
      <c r="U75" s="125">
        <f t="shared" si="68"/>
        <v>60.563865573083369</v>
      </c>
      <c r="V75" s="125">
        <f t="shared" si="69"/>
        <v>113.32191914635143</v>
      </c>
      <c r="W75" s="125">
        <f t="shared" si="70"/>
        <v>11.22536945812808</v>
      </c>
      <c r="X75" s="98">
        <f t="shared" si="76"/>
        <v>676.85594657231172</v>
      </c>
      <c r="Y75" s="189">
        <f t="shared" si="77"/>
        <v>104.58503283036919</v>
      </c>
    </row>
    <row r="76" spans="2:25" s="31" customFormat="1">
      <c r="B76" s="27"/>
      <c r="C76" s="27"/>
      <c r="D76" s="28"/>
      <c r="E76" s="28"/>
      <c r="F76" s="28"/>
      <c r="G76" s="29"/>
      <c r="H76" s="28"/>
      <c r="I76" s="28"/>
      <c r="J76" s="28"/>
      <c r="K76" s="28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2:25" s="31" customFormat="1">
      <c r="B77" s="27"/>
      <c r="C77" s="27"/>
      <c r="D77" s="28"/>
      <c r="E77" s="28"/>
      <c r="F77" s="28"/>
      <c r="G77" s="29"/>
      <c r="H77" s="28"/>
      <c r="I77" s="28"/>
      <c r="J77" s="28"/>
      <c r="K77" s="28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2:25" s="31" customFormat="1">
      <c r="B78" s="27"/>
      <c r="C78" s="27"/>
      <c r="D78" s="28"/>
      <c r="E78" s="28"/>
      <c r="F78" s="28"/>
      <c r="G78" s="29"/>
      <c r="H78" s="28"/>
      <c r="I78" s="28"/>
      <c r="J78" s="28"/>
      <c r="K78" s="28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2:25" s="31" customFormat="1">
      <c r="B79" s="27"/>
      <c r="C79" s="27"/>
      <c r="D79" s="28"/>
      <c r="E79" s="28"/>
      <c r="F79" s="28"/>
      <c r="G79" s="29"/>
      <c r="H79" s="28"/>
      <c r="I79" s="28"/>
      <c r="J79" s="28"/>
      <c r="K79" s="28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2:25" s="31" customFormat="1">
      <c r="B80" s="27"/>
      <c r="C80" s="27"/>
      <c r="D80" s="28"/>
      <c r="E80" s="28"/>
      <c r="F80" s="28"/>
      <c r="G80" s="29"/>
      <c r="H80" s="28"/>
      <c r="I80" s="28"/>
      <c r="J80" s="28"/>
      <c r="K80" s="28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2:24" s="31" customFormat="1">
      <c r="B81" s="27"/>
      <c r="C81" s="27"/>
      <c r="D81" s="28"/>
      <c r="E81" s="28"/>
      <c r="F81" s="28"/>
      <c r="G81" s="29"/>
      <c r="H81" s="28"/>
      <c r="I81" s="28"/>
      <c r="J81" s="28"/>
      <c r="K81" s="28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2:24" s="31" customFormat="1">
      <c r="B82" s="27"/>
      <c r="C82" s="27"/>
      <c r="D82" s="28"/>
      <c r="E82" s="28"/>
      <c r="F82" s="28"/>
      <c r="G82" s="29"/>
      <c r="H82" s="28"/>
      <c r="I82" s="28"/>
      <c r="J82" s="28"/>
      <c r="K82" s="28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2:24" s="31" customFormat="1">
      <c r="B83" s="27"/>
      <c r="C83" s="27"/>
      <c r="D83" s="28"/>
      <c r="E83" s="28"/>
      <c r="F83" s="28"/>
      <c r="G83" s="29"/>
      <c r="H83" s="28"/>
      <c r="I83" s="28"/>
      <c r="J83" s="28"/>
      <c r="K83" s="28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2:24" s="31" customFormat="1" ht="15.75" thickBot="1">
      <c r="B84" s="27"/>
      <c r="C84" s="27"/>
      <c r="D84" s="28"/>
      <c r="E84" s="28"/>
      <c r="F84" s="28"/>
      <c r="G84" s="29"/>
      <c r="H84" s="28"/>
      <c r="I84" s="28"/>
      <c r="J84" s="28"/>
      <c r="K84" s="28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2:24" s="31" customFormat="1" ht="21">
      <c r="B85" s="287" t="s">
        <v>141</v>
      </c>
      <c r="C85" s="288"/>
      <c r="D85" s="178"/>
      <c r="E85" s="178"/>
      <c r="F85" s="178"/>
      <c r="G85" s="251"/>
      <c r="H85" s="178"/>
      <c r="I85" s="178"/>
      <c r="J85" s="178"/>
      <c r="K85" s="178"/>
      <c r="L85" s="178"/>
      <c r="M85" s="178"/>
      <c r="N85" s="178"/>
      <c r="O85" s="251"/>
      <c r="P85" s="251"/>
      <c r="Q85" s="251"/>
      <c r="R85" s="251"/>
      <c r="S85" s="251"/>
      <c r="T85" s="251"/>
      <c r="U85" s="251"/>
      <c r="V85" s="251"/>
      <c r="W85" s="251"/>
      <c r="X85" s="200"/>
    </row>
    <row r="86" spans="2:24" s="31" customFormat="1" ht="11.25" customHeight="1">
      <c r="B86" s="289"/>
      <c r="C86" s="131"/>
      <c r="D86" s="28"/>
      <c r="E86" s="28"/>
      <c r="F86" s="28"/>
      <c r="G86" s="29"/>
      <c r="H86" s="28"/>
      <c r="I86" s="28"/>
      <c r="J86" s="28"/>
      <c r="K86" s="28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26"/>
    </row>
    <row r="87" spans="2:24" ht="45">
      <c r="B87" s="303"/>
      <c r="C87" s="290"/>
      <c r="D87" s="291" t="s">
        <v>2</v>
      </c>
      <c r="E87" s="292" t="s">
        <v>4</v>
      </c>
      <c r="F87" s="293" t="s">
        <v>79</v>
      </c>
      <c r="G87" s="294" t="s">
        <v>26</v>
      </c>
      <c r="H87" s="295" t="s">
        <v>43</v>
      </c>
      <c r="I87" s="346"/>
      <c r="J87" s="296" t="s">
        <v>15</v>
      </c>
      <c r="K87" s="293"/>
      <c r="L87" s="278"/>
      <c r="M87" s="278"/>
      <c r="N87" s="278"/>
      <c r="O87" s="298" t="s">
        <v>28</v>
      </c>
      <c r="P87" s="298" t="s">
        <v>27</v>
      </c>
      <c r="Q87" s="299" t="s">
        <v>29</v>
      </c>
      <c r="R87" s="299" t="s">
        <v>30</v>
      </c>
      <c r="S87" s="295" t="s">
        <v>31</v>
      </c>
      <c r="T87" s="300" t="s">
        <v>32</v>
      </c>
      <c r="U87" s="301" t="s">
        <v>33</v>
      </c>
      <c r="V87" s="302" t="s">
        <v>85</v>
      </c>
      <c r="W87" s="302" t="s">
        <v>84</v>
      </c>
      <c r="X87" s="304" t="s">
        <v>35</v>
      </c>
    </row>
    <row r="88" spans="2:24">
      <c r="B88" s="60" t="s">
        <v>5</v>
      </c>
      <c r="C88" s="220"/>
      <c r="D88" s="61">
        <f>D31</f>
        <v>33</v>
      </c>
      <c r="E88" s="62">
        <f>E31</f>
        <v>7200</v>
      </c>
      <c r="F88" s="63">
        <f>F31</f>
        <v>5</v>
      </c>
      <c r="G88" s="112">
        <f>F88*1000/E88</f>
        <v>0.69444444444444442</v>
      </c>
      <c r="H88" s="113">
        <f>D88*1000000/E88</f>
        <v>4583.333333333333</v>
      </c>
      <c r="I88" s="329"/>
      <c r="J88" s="62">
        <f>J31</f>
        <v>7200</v>
      </c>
      <c r="K88" s="63"/>
      <c r="L88" s="285"/>
      <c r="M88" s="285"/>
      <c r="N88" s="285"/>
      <c r="O88" s="118">
        <f t="shared" ref="O88:O97" si="87">O65*E65/1000000</f>
        <v>2.367191079883916</v>
      </c>
      <c r="P88" s="118">
        <f t="shared" ref="P88:P97" si="88">P65*F88/1000</f>
        <v>0.18521789883268483</v>
      </c>
      <c r="Q88" s="135">
        <f t="shared" ref="Q88:Q97" si="89">Q65*J88/1000000</f>
        <v>1.2541940854567977</v>
      </c>
      <c r="R88" s="135">
        <f t="shared" ref="R88:R97" si="90">R65*F88/1000</f>
        <v>0.14235161107970606</v>
      </c>
      <c r="S88" s="136">
        <f t="shared" ref="S88:S97" si="91">S65*F88/1000</f>
        <v>0.22368296155671571</v>
      </c>
      <c r="T88" s="137">
        <f t="shared" ref="T88:T97" si="92">T65*E88/1000000</f>
        <v>0</v>
      </c>
      <c r="U88" s="138">
        <f t="shared" ref="U88:U97" si="93">U65*E88/1000000</f>
        <v>0</v>
      </c>
      <c r="V88" s="139">
        <f t="shared" ref="V88:V97" si="94">V65*E88/1000000</f>
        <v>0.8159178178537303</v>
      </c>
      <c r="W88" s="139">
        <f t="shared" ref="W88:W97" si="95">W65*F88/1000</f>
        <v>5.6126847290640415E-2</v>
      </c>
      <c r="X88" s="69">
        <f t="shared" ref="X88:X98" si="96">SUM(O88:W88)</f>
        <v>5.0446823019541904</v>
      </c>
    </row>
    <row r="89" spans="2:24">
      <c r="B89" s="60" t="s">
        <v>6</v>
      </c>
      <c r="C89" s="220"/>
      <c r="D89" s="61">
        <f t="shared" ref="D89:F89" si="97">D32</f>
        <v>140</v>
      </c>
      <c r="E89" s="62">
        <f t="shared" si="97"/>
        <v>14200</v>
      </c>
      <c r="F89" s="63">
        <f t="shared" si="97"/>
        <v>33</v>
      </c>
      <c r="G89" s="112">
        <f t="shared" ref="G89:G98" si="98">F89*1000/E89</f>
        <v>2.323943661971831</v>
      </c>
      <c r="H89" s="113">
        <f t="shared" ref="H89:H98" si="99">D89*1000000/E89</f>
        <v>9859.1549295774639</v>
      </c>
      <c r="I89" s="329"/>
      <c r="J89" s="62">
        <f t="shared" ref="J89:J97" si="100">J32</f>
        <v>14200</v>
      </c>
      <c r="K89" s="63"/>
      <c r="L89" s="285"/>
      <c r="M89" s="285"/>
      <c r="N89" s="285"/>
      <c r="O89" s="118">
        <f t="shared" si="87"/>
        <v>4.6686268519932783</v>
      </c>
      <c r="P89" s="118">
        <f t="shared" si="88"/>
        <v>1.1113073929961093</v>
      </c>
      <c r="Q89" s="135">
        <f t="shared" si="89"/>
        <v>2.4735494463175733</v>
      </c>
      <c r="R89" s="135">
        <f t="shared" si="90"/>
        <v>9.4901074053137344E-2</v>
      </c>
      <c r="S89" s="136">
        <f t="shared" si="91"/>
        <v>1.3420977693402942</v>
      </c>
      <c r="T89" s="137">
        <f t="shared" si="92"/>
        <v>28.1</v>
      </c>
      <c r="U89" s="138">
        <f t="shared" si="93"/>
        <v>0</v>
      </c>
      <c r="V89" s="139">
        <f t="shared" si="94"/>
        <v>1.60917125187819</v>
      </c>
      <c r="W89" s="139">
        <f t="shared" si="95"/>
        <v>0.37043719211822668</v>
      </c>
      <c r="X89" s="69">
        <f t="shared" si="96"/>
        <v>39.770090978696807</v>
      </c>
    </row>
    <row r="90" spans="2:24">
      <c r="B90" s="60" t="s">
        <v>7</v>
      </c>
      <c r="C90" s="220"/>
      <c r="D90" s="61">
        <f t="shared" ref="D90:F90" si="101">D33</f>
        <v>5183</v>
      </c>
      <c r="E90" s="62">
        <f t="shared" si="101"/>
        <v>1013751</v>
      </c>
      <c r="F90" s="63">
        <f t="shared" si="101"/>
        <v>1912</v>
      </c>
      <c r="G90" s="112">
        <f t="shared" si="98"/>
        <v>1.8860647239805435</v>
      </c>
      <c r="H90" s="113">
        <f t="shared" si="99"/>
        <v>5112.6953265644124</v>
      </c>
      <c r="I90" s="329"/>
      <c r="J90" s="62">
        <f t="shared" si="100"/>
        <v>1013751</v>
      </c>
      <c r="K90" s="63"/>
      <c r="L90" s="285"/>
      <c r="M90" s="285"/>
      <c r="N90" s="285"/>
      <c r="O90" s="118">
        <f t="shared" si="87"/>
        <v>333.29754505880555</v>
      </c>
      <c r="P90" s="118">
        <f t="shared" si="88"/>
        <v>63.961914396887174</v>
      </c>
      <c r="Q90" s="135">
        <f t="shared" si="89"/>
        <v>176.58895948971031</v>
      </c>
      <c r="R90" s="135">
        <f t="shared" si="90"/>
        <v>49.158756359525157</v>
      </c>
      <c r="S90" s="136">
        <f t="shared" si="91"/>
        <v>77.245182724252473</v>
      </c>
      <c r="T90" s="137">
        <f t="shared" si="92"/>
        <v>0</v>
      </c>
      <c r="U90" s="138">
        <f t="shared" si="93"/>
        <v>51.29999999999999</v>
      </c>
      <c r="V90" s="139">
        <f t="shared" si="94"/>
        <v>114.8802088565329</v>
      </c>
      <c r="W90" s="139">
        <f t="shared" si="95"/>
        <v>21.462906403940892</v>
      </c>
      <c r="X90" s="69">
        <f t="shared" si="96"/>
        <v>887.89547328965432</v>
      </c>
    </row>
    <row r="91" spans="2:24">
      <c r="B91" s="60" t="s">
        <v>8</v>
      </c>
      <c r="C91" s="220"/>
      <c r="D91" s="61">
        <f t="shared" ref="D91:F91" si="102">D34</f>
        <v>906</v>
      </c>
      <c r="E91" s="62">
        <f t="shared" si="102"/>
        <v>73544</v>
      </c>
      <c r="F91" s="63">
        <f t="shared" si="102"/>
        <v>336</v>
      </c>
      <c r="G91" s="112">
        <f t="shared" si="98"/>
        <v>4.5686935711954746</v>
      </c>
      <c r="H91" s="113">
        <f t="shared" si="99"/>
        <v>12319.155879473512</v>
      </c>
      <c r="I91" s="329"/>
      <c r="J91" s="62">
        <f t="shared" si="100"/>
        <v>73544</v>
      </c>
      <c r="K91" s="63"/>
      <c r="L91" s="285"/>
      <c r="M91" s="285"/>
      <c r="N91" s="285"/>
      <c r="O91" s="118">
        <f t="shared" si="87"/>
        <v>24.179541774858709</v>
      </c>
      <c r="P91" s="118">
        <f t="shared" si="88"/>
        <v>10.835247081712064</v>
      </c>
      <c r="Q91" s="135">
        <f t="shared" si="89"/>
        <v>12.810895808449267</v>
      </c>
      <c r="R91" s="135">
        <f t="shared" si="90"/>
        <v>8.3275692481628045</v>
      </c>
      <c r="S91" s="136">
        <f t="shared" si="91"/>
        <v>13.08545325106787</v>
      </c>
      <c r="T91" s="137">
        <f t="shared" si="92"/>
        <v>0</v>
      </c>
      <c r="U91" s="138">
        <f t="shared" si="93"/>
        <v>7.4</v>
      </c>
      <c r="V91" s="139">
        <f t="shared" si="94"/>
        <v>8.3341472216992685</v>
      </c>
      <c r="W91" s="139">
        <f t="shared" si="95"/>
        <v>3.7717241379310353</v>
      </c>
      <c r="X91" s="69">
        <f t="shared" si="96"/>
        <v>88.744578523881017</v>
      </c>
    </row>
    <row r="92" spans="2:24">
      <c r="B92" s="60" t="s">
        <v>9</v>
      </c>
      <c r="C92" s="220"/>
      <c r="D92" s="61">
        <f t="shared" ref="D92:F92" si="103">D35</f>
        <v>1122</v>
      </c>
      <c r="E92" s="62">
        <f t="shared" si="103"/>
        <v>12957</v>
      </c>
      <c r="F92" s="63">
        <f t="shared" si="103"/>
        <v>554</v>
      </c>
      <c r="G92" s="112">
        <f t="shared" si="98"/>
        <v>42.756810990198346</v>
      </c>
      <c r="H92" s="113">
        <f t="shared" si="99"/>
        <v>86594.119009029862</v>
      </c>
      <c r="I92" s="329"/>
      <c r="J92" s="62">
        <f t="shared" si="100"/>
        <v>12957</v>
      </c>
      <c r="K92" s="63"/>
      <c r="L92" s="285"/>
      <c r="M92" s="285"/>
      <c r="N92" s="285"/>
      <c r="O92" s="118">
        <f t="shared" si="87"/>
        <v>4.2599576141744304</v>
      </c>
      <c r="P92" s="118">
        <f t="shared" si="88"/>
        <v>17.873527237354089</v>
      </c>
      <c r="Q92" s="135">
        <f t="shared" si="89"/>
        <v>2.2570267729532953</v>
      </c>
      <c r="R92" s="135">
        <f t="shared" si="90"/>
        <v>13.736930469191632</v>
      </c>
      <c r="S92" s="136">
        <f t="shared" si="91"/>
        <v>21.585405790223071</v>
      </c>
      <c r="T92" s="137">
        <f t="shared" si="92"/>
        <v>0</v>
      </c>
      <c r="U92" s="138">
        <f t="shared" si="93"/>
        <v>4.0999999999999996</v>
      </c>
      <c r="V92" s="139">
        <f t="shared" si="94"/>
        <v>1.4683121063792755</v>
      </c>
      <c r="W92" s="139">
        <f t="shared" si="95"/>
        <v>6.2188546798029574</v>
      </c>
      <c r="X92" s="69">
        <f t="shared" si="96"/>
        <v>71.500014670078755</v>
      </c>
    </row>
    <row r="93" spans="2:24">
      <c r="B93" s="60" t="s">
        <v>10</v>
      </c>
      <c r="C93" s="220"/>
      <c r="D93" s="61">
        <f t="shared" ref="D93:F93" si="104">D36</f>
        <v>1126</v>
      </c>
      <c r="E93" s="62">
        <f t="shared" si="104"/>
        <v>2911</v>
      </c>
      <c r="F93" s="63">
        <f t="shared" si="104"/>
        <v>490</v>
      </c>
      <c r="G93" s="112">
        <f t="shared" si="98"/>
        <v>168.32703538302988</v>
      </c>
      <c r="H93" s="113">
        <f t="shared" si="99"/>
        <v>386808.65681896254</v>
      </c>
      <c r="I93" s="329"/>
      <c r="J93" s="62">
        <f t="shared" si="100"/>
        <v>2620</v>
      </c>
      <c r="K93" s="63"/>
      <c r="L93" s="285"/>
      <c r="M93" s="285"/>
      <c r="N93" s="285"/>
      <c r="O93" s="118">
        <f t="shared" si="87"/>
        <v>0.95706850465862225</v>
      </c>
      <c r="P93" s="118">
        <f t="shared" si="88"/>
        <v>15.836130350194553</v>
      </c>
      <c r="Q93" s="135">
        <f t="shared" si="89"/>
        <v>0.45638729220789026</v>
      </c>
      <c r="R93" s="135">
        <f t="shared" si="90"/>
        <v>10.93734878462408</v>
      </c>
      <c r="S93" s="136">
        <f t="shared" si="91"/>
        <v>19.124893213099188</v>
      </c>
      <c r="T93" s="137">
        <f t="shared" si="92"/>
        <v>0</v>
      </c>
      <c r="U93" s="138">
        <f t="shared" si="93"/>
        <v>2.4</v>
      </c>
      <c r="V93" s="139">
        <f t="shared" si="94"/>
        <v>0.32988010663502904</v>
      </c>
      <c r="W93" s="139">
        <f t="shared" si="95"/>
        <v>5.5004310344827596</v>
      </c>
      <c r="X93" s="69">
        <f t="shared" si="96"/>
        <v>55.542139285902117</v>
      </c>
    </row>
    <row r="94" spans="2:24">
      <c r="B94" s="60" t="s">
        <v>11</v>
      </c>
      <c r="C94" s="220"/>
      <c r="D94" s="61">
        <f t="shared" ref="D94:F94" si="105">D37</f>
        <v>1217</v>
      </c>
      <c r="E94" s="62">
        <f t="shared" si="105"/>
        <v>964</v>
      </c>
      <c r="F94" s="63">
        <f t="shared" si="105"/>
        <v>467</v>
      </c>
      <c r="G94" s="112">
        <f t="shared" si="98"/>
        <v>484.43983402489624</v>
      </c>
      <c r="H94" s="113">
        <f t="shared" si="99"/>
        <v>1262448.132780083</v>
      </c>
      <c r="I94" s="329"/>
      <c r="J94" s="62">
        <f t="shared" si="100"/>
        <v>96</v>
      </c>
      <c r="K94" s="63"/>
      <c r="L94" s="285"/>
      <c r="M94" s="285"/>
      <c r="N94" s="285"/>
      <c r="O94" s="118">
        <f t="shared" si="87"/>
        <v>0.31694058347334647</v>
      </c>
      <c r="P94" s="118">
        <f t="shared" si="88"/>
        <v>14.910040856031129</v>
      </c>
      <c r="Q94" s="135">
        <f t="shared" si="89"/>
        <v>1.6722587806090632E-2</v>
      </c>
      <c r="R94" s="135">
        <f t="shared" si="90"/>
        <v>1.1388128886376483</v>
      </c>
      <c r="S94" s="136">
        <f t="shared" si="91"/>
        <v>18.006478405315615</v>
      </c>
      <c r="T94" s="137">
        <f t="shared" si="92"/>
        <v>0</v>
      </c>
      <c r="U94" s="138">
        <f t="shared" si="93"/>
        <v>1.2</v>
      </c>
      <c r="V94" s="139">
        <f t="shared" si="94"/>
        <v>0.10924233005708278</v>
      </c>
      <c r="W94" s="139">
        <f t="shared" si="95"/>
        <v>5.2422475369458139</v>
      </c>
      <c r="X94" s="69">
        <f t="shared" si="96"/>
        <v>40.940485188266734</v>
      </c>
    </row>
    <row r="95" spans="2:24">
      <c r="B95" s="60" t="s">
        <v>12</v>
      </c>
      <c r="C95" s="220"/>
      <c r="D95" s="61">
        <f t="shared" ref="D95:F95" si="106">D38</f>
        <v>377</v>
      </c>
      <c r="E95" s="62">
        <f t="shared" si="106"/>
        <v>125</v>
      </c>
      <c r="F95" s="63">
        <f t="shared" si="106"/>
        <v>168</v>
      </c>
      <c r="G95" s="112">
        <f t="shared" si="98"/>
        <v>1344</v>
      </c>
      <c r="H95" s="113">
        <f t="shared" si="99"/>
        <v>3016000</v>
      </c>
      <c r="I95" s="329"/>
      <c r="J95" s="62">
        <f t="shared" si="100"/>
        <v>13</v>
      </c>
      <c r="K95" s="63"/>
      <c r="L95" s="285"/>
      <c r="M95" s="285"/>
      <c r="N95" s="285"/>
      <c r="O95" s="118">
        <f t="shared" si="87"/>
        <v>4.1097067359095768E-2</v>
      </c>
      <c r="P95" s="118">
        <f t="shared" si="88"/>
        <v>5.3713190661478603</v>
      </c>
      <c r="Q95" s="135">
        <f t="shared" si="89"/>
        <v>2.2645170987414397E-3</v>
      </c>
      <c r="R95" s="135">
        <f t="shared" si="90"/>
        <v>0.40332956472583381</v>
      </c>
      <c r="S95" s="136">
        <f t="shared" si="91"/>
        <v>6.4868058851447552</v>
      </c>
      <c r="T95" s="137">
        <f t="shared" si="92"/>
        <v>0</v>
      </c>
      <c r="U95" s="138">
        <f t="shared" si="93"/>
        <v>0.2</v>
      </c>
      <c r="V95" s="139">
        <f t="shared" si="94"/>
        <v>1.4165239893293926E-2</v>
      </c>
      <c r="W95" s="139">
        <f t="shared" si="95"/>
        <v>1.8858620689655177</v>
      </c>
      <c r="X95" s="69">
        <f t="shared" si="96"/>
        <v>14.404843409335099</v>
      </c>
    </row>
    <row r="96" spans="2:24">
      <c r="B96" s="60" t="s">
        <v>13</v>
      </c>
      <c r="C96" s="220"/>
      <c r="D96" s="61">
        <f t="shared" ref="D96:F96" si="107">D39</f>
        <v>257</v>
      </c>
      <c r="E96" s="62">
        <f t="shared" si="107"/>
        <v>116</v>
      </c>
      <c r="F96" s="63">
        <f t="shared" si="107"/>
        <v>63</v>
      </c>
      <c r="G96" s="112">
        <f t="shared" si="98"/>
        <v>543.10344827586209</v>
      </c>
      <c r="H96" s="113">
        <f t="shared" si="99"/>
        <v>2215517.2413793104</v>
      </c>
      <c r="I96" s="329"/>
      <c r="J96" s="62">
        <f t="shared" si="100"/>
        <v>0</v>
      </c>
      <c r="K96" s="63"/>
      <c r="L96" s="285"/>
      <c r="M96" s="285"/>
      <c r="N96" s="285"/>
      <c r="O96" s="118">
        <f t="shared" si="87"/>
        <v>3.8138078509240871E-2</v>
      </c>
      <c r="P96" s="118">
        <f t="shared" si="88"/>
        <v>1.9756575875486384</v>
      </c>
      <c r="Q96" s="135">
        <f t="shared" si="89"/>
        <v>0</v>
      </c>
      <c r="R96" s="135">
        <f t="shared" si="90"/>
        <v>0</v>
      </c>
      <c r="S96" s="136">
        <f t="shared" si="91"/>
        <v>0</v>
      </c>
      <c r="T96" s="137">
        <f t="shared" si="92"/>
        <v>0</v>
      </c>
      <c r="U96" s="138">
        <f t="shared" si="93"/>
        <v>0.40000000000000008</v>
      </c>
      <c r="V96" s="139">
        <f t="shared" si="94"/>
        <v>1.3145342620976766E-2</v>
      </c>
      <c r="W96" s="139">
        <f t="shared" si="95"/>
        <v>0.70719827586206918</v>
      </c>
      <c r="X96" s="69">
        <f t="shared" si="96"/>
        <v>3.1341392845409248</v>
      </c>
    </row>
    <row r="97" spans="2:24">
      <c r="B97" s="324" t="s">
        <v>14</v>
      </c>
      <c r="C97" s="312"/>
      <c r="D97" s="61">
        <f t="shared" ref="D97:F97" si="108">D40</f>
        <v>2837</v>
      </c>
      <c r="E97" s="62">
        <f t="shared" si="108"/>
        <v>316</v>
      </c>
      <c r="F97" s="63">
        <f t="shared" si="108"/>
        <v>844</v>
      </c>
      <c r="G97" s="316">
        <f t="shared" si="98"/>
        <v>2670.8860759493673</v>
      </c>
      <c r="H97" s="317">
        <f t="shared" si="99"/>
        <v>8977848.1012658235</v>
      </c>
      <c r="I97" s="347"/>
      <c r="J97" s="62">
        <f t="shared" si="100"/>
        <v>0</v>
      </c>
      <c r="K97" s="315"/>
      <c r="L97" s="349"/>
      <c r="M97" s="349"/>
      <c r="N97" s="349"/>
      <c r="O97" s="318">
        <f t="shared" si="87"/>
        <v>0.10389338628379409</v>
      </c>
      <c r="P97" s="318">
        <f t="shared" si="88"/>
        <v>26.609638132295718</v>
      </c>
      <c r="Q97" s="319">
        <f t="shared" si="89"/>
        <v>0</v>
      </c>
      <c r="R97" s="319">
        <f t="shared" si="90"/>
        <v>0</v>
      </c>
      <c r="S97" s="320">
        <f t="shared" si="91"/>
        <v>0</v>
      </c>
      <c r="T97" s="321">
        <f t="shared" si="92"/>
        <v>0</v>
      </c>
      <c r="U97" s="322">
        <f t="shared" si="93"/>
        <v>1.2</v>
      </c>
      <c r="V97" s="323">
        <f t="shared" si="94"/>
        <v>3.5809726450247048E-2</v>
      </c>
      <c r="W97" s="323">
        <f t="shared" si="95"/>
        <v>9.4742118226601022</v>
      </c>
      <c r="X97" s="325">
        <f t="shared" si="96"/>
        <v>37.423553067689859</v>
      </c>
    </row>
    <row r="98" spans="2:24" ht="15.75" thickBot="1">
      <c r="B98" s="271" t="s">
        <v>0</v>
      </c>
      <c r="C98" s="283"/>
      <c r="D98" s="277">
        <f t="shared" ref="D98:E98" si="109">SUM(D88:D97)</f>
        <v>13198</v>
      </c>
      <c r="E98" s="272">
        <f t="shared" si="109"/>
        <v>1126084</v>
      </c>
      <c r="F98" s="273">
        <f>SUM(F88:F97)</f>
        <v>4872</v>
      </c>
      <c r="G98" s="274">
        <f t="shared" si="98"/>
        <v>4.3264978456314092</v>
      </c>
      <c r="H98" s="275">
        <f t="shared" si="99"/>
        <v>11720.262431577041</v>
      </c>
      <c r="I98" s="348"/>
      <c r="J98" s="272">
        <f>SUM(J88:J97)</f>
        <v>1124381</v>
      </c>
      <c r="K98" s="273"/>
      <c r="L98" s="350"/>
      <c r="M98" s="350"/>
      <c r="N98" s="350"/>
      <c r="O98" s="305">
        <f>SUM(O88:O97)</f>
        <v>370.23</v>
      </c>
      <c r="P98" s="305">
        <f t="shared" ref="P98:V98" si="110">SUM(P88:P97)</f>
        <v>158.67000000000002</v>
      </c>
      <c r="Q98" s="306">
        <f t="shared" si="110"/>
        <v>195.85999999999996</v>
      </c>
      <c r="R98" s="306">
        <f t="shared" si="110"/>
        <v>83.94</v>
      </c>
      <c r="S98" s="307">
        <f t="shared" si="110"/>
        <v>157.1</v>
      </c>
      <c r="T98" s="308">
        <f t="shared" si="110"/>
        <v>28.1</v>
      </c>
      <c r="U98" s="309">
        <f t="shared" si="110"/>
        <v>68.2</v>
      </c>
      <c r="V98" s="310">
        <f t="shared" si="110"/>
        <v>127.61</v>
      </c>
      <c r="W98" s="310">
        <f t="shared" ref="W98" si="111">SUM(W88:W97)</f>
        <v>54.690000000000005</v>
      </c>
      <c r="X98" s="311">
        <f t="shared" si="96"/>
        <v>1244.4000000000001</v>
      </c>
    </row>
    <row r="107" spans="2:24" ht="23.25">
      <c r="B107" s="90" t="s">
        <v>106</v>
      </c>
      <c r="C107" s="90"/>
    </row>
    <row r="109" spans="2:24" ht="15.75" thickBot="1"/>
    <row r="110" spans="2:24" ht="23.25">
      <c r="B110" s="212" t="s">
        <v>215</v>
      </c>
      <c r="C110" s="269"/>
      <c r="D110" s="232"/>
      <c r="E110" s="233"/>
      <c r="F110" s="233"/>
      <c r="G110" s="233"/>
      <c r="H110" s="233"/>
      <c r="I110" s="232"/>
      <c r="J110" s="232"/>
      <c r="K110" s="234"/>
      <c r="L110" s="45"/>
      <c r="M110" s="45"/>
      <c r="N110" s="45"/>
      <c r="O110" s="45"/>
    </row>
    <row r="111" spans="2:24" ht="21" customHeight="1">
      <c r="B111" s="359" t="s">
        <v>216</v>
      </c>
      <c r="C111" s="270"/>
      <c r="D111" s="235"/>
      <c r="E111" s="231"/>
      <c r="F111" s="231"/>
      <c r="G111" s="231"/>
      <c r="H111" s="231"/>
      <c r="I111" s="235"/>
      <c r="J111" s="235"/>
      <c r="K111" s="236"/>
      <c r="L111" s="45"/>
      <c r="M111" s="45"/>
      <c r="N111" s="45"/>
      <c r="O111" s="45"/>
    </row>
    <row r="112" spans="2:24" ht="13.5" customHeight="1">
      <c r="B112" s="239"/>
      <c r="C112" s="270"/>
      <c r="D112" s="235"/>
      <c r="E112" s="231"/>
      <c r="F112" s="231"/>
      <c r="G112" s="231"/>
      <c r="H112" s="231"/>
      <c r="I112" s="235"/>
      <c r="J112" s="235"/>
      <c r="K112" s="236"/>
      <c r="L112" s="45"/>
      <c r="M112" s="45"/>
      <c r="N112" s="45"/>
      <c r="O112" s="45"/>
    </row>
    <row r="113" spans="2:15" ht="19.5" customHeight="1">
      <c r="B113" s="237"/>
      <c r="C113" s="231"/>
      <c r="D113" s="448" t="s">
        <v>218</v>
      </c>
      <c r="E113" s="270"/>
      <c r="F113" s="270"/>
      <c r="G113" s="270" t="s">
        <v>217</v>
      </c>
      <c r="H113" s="270"/>
      <c r="I113" s="270"/>
      <c r="J113" s="270" t="s">
        <v>196</v>
      </c>
      <c r="K113" s="358"/>
      <c r="L113" s="45"/>
      <c r="M113" s="45"/>
      <c r="N113" s="45"/>
      <c r="O113" s="45"/>
    </row>
    <row r="114" spans="2:15" ht="19.5" customHeight="1">
      <c r="B114" s="411" t="s">
        <v>193</v>
      </c>
      <c r="C114" s="231"/>
      <c r="D114" s="439" t="s">
        <v>210</v>
      </c>
      <c r="E114" s="439" t="s">
        <v>210</v>
      </c>
      <c r="F114" s="270"/>
      <c r="G114" s="410">
        <v>0.7</v>
      </c>
      <c r="H114" s="410">
        <v>0.3</v>
      </c>
      <c r="I114" s="357"/>
      <c r="J114" s="270"/>
      <c r="K114" s="358"/>
      <c r="L114" s="45"/>
      <c r="M114" s="45"/>
      <c r="N114" s="45"/>
      <c r="O114" s="45"/>
    </row>
    <row r="115" spans="2:15" ht="60">
      <c r="B115" s="238"/>
      <c r="C115" s="235"/>
      <c r="D115" s="53" t="s">
        <v>188</v>
      </c>
      <c r="E115" s="54" t="s">
        <v>190</v>
      </c>
      <c r="F115" s="211" t="s">
        <v>46</v>
      </c>
      <c r="G115" s="53" t="s">
        <v>189</v>
      </c>
      <c r="H115" s="54" t="s">
        <v>191</v>
      </c>
      <c r="I115" s="211"/>
      <c r="J115" s="51" t="s">
        <v>107</v>
      </c>
      <c r="K115" s="230" t="s">
        <v>192</v>
      </c>
      <c r="L115" s="45"/>
      <c r="M115" s="45"/>
      <c r="N115" s="45"/>
      <c r="O115" s="45"/>
    </row>
    <row r="116" spans="2:15">
      <c r="B116" s="60" t="s">
        <v>5</v>
      </c>
      <c r="C116" s="220"/>
      <c r="D116" s="351">
        <v>200.90695138051774</v>
      </c>
      <c r="E116" s="351">
        <v>300</v>
      </c>
      <c r="F116" s="211"/>
      <c r="G116" s="228">
        <f>X65</f>
        <v>616.29208099922835</v>
      </c>
      <c r="H116" s="228">
        <f>Y65</f>
        <v>121.4758637519494</v>
      </c>
      <c r="I116" s="43" t="s">
        <v>219</v>
      </c>
      <c r="J116" s="352">
        <f>G116/D116</f>
        <v>3.0675498123107312</v>
      </c>
      <c r="K116" s="353">
        <f>H116/E116</f>
        <v>0.40491954583983136</v>
      </c>
      <c r="L116" s="45"/>
      <c r="M116" s="45"/>
      <c r="N116" s="45"/>
      <c r="O116" s="45"/>
    </row>
    <row r="117" spans="2:15">
      <c r="B117" s="60" t="s">
        <v>6</v>
      </c>
      <c r="C117" s="220"/>
      <c r="D117" s="351">
        <v>126.91448060529598</v>
      </c>
      <c r="E117" s="351">
        <v>178.78787878787881</v>
      </c>
      <c r="F117" s="211"/>
      <c r="G117" s="228">
        <f t="shared" ref="G117:G126" si="112">X66</f>
        <v>2595.1653204358481</v>
      </c>
      <c r="H117" s="228">
        <f t="shared" ref="H117:H126" si="113">Y66</f>
        <v>88.446770560841443</v>
      </c>
      <c r="I117" s="43" t="s">
        <v>220</v>
      </c>
      <c r="J117" s="352">
        <f t="shared" ref="J117:J126" si="114">G117/D117</f>
        <v>20.448141993401148</v>
      </c>
      <c r="K117" s="353">
        <f t="shared" ref="K117:K126" si="115">H117/E117</f>
        <v>0.49470227601826566</v>
      </c>
      <c r="L117" s="45"/>
      <c r="M117" s="45"/>
      <c r="N117" s="45"/>
      <c r="O117" s="45"/>
    </row>
    <row r="118" spans="2:15">
      <c r="B118" s="60" t="s">
        <v>7</v>
      </c>
      <c r="C118" s="220"/>
      <c r="D118" s="351">
        <v>261.89863191257024</v>
      </c>
      <c r="E118" s="351">
        <v>223.32635983263597</v>
      </c>
      <c r="F118" s="211"/>
      <c r="G118" s="228">
        <f t="shared" si="112"/>
        <v>666.89622343657243</v>
      </c>
      <c r="H118" s="228">
        <f t="shared" si="113"/>
        <v>110.78910035805738</v>
      </c>
      <c r="I118" s="43"/>
      <c r="J118" s="352">
        <f t="shared" si="114"/>
        <v>2.5463906342939691</v>
      </c>
      <c r="K118" s="353">
        <f t="shared" si="115"/>
        <v>0.49608608872273002</v>
      </c>
      <c r="L118" s="45"/>
      <c r="M118" s="45"/>
      <c r="N118" s="45"/>
      <c r="O118" s="45"/>
    </row>
    <row r="119" spans="2:15">
      <c r="B119" s="60" t="s">
        <v>8</v>
      </c>
      <c r="C119" s="220"/>
      <c r="D119" s="351">
        <v>367.12716197106494</v>
      </c>
      <c r="E119" s="351">
        <v>217.85714285714283</v>
      </c>
      <c r="F119" s="211"/>
      <c r="G119" s="228">
        <f t="shared" si="112"/>
        <v>716.91211798389054</v>
      </c>
      <c r="H119" s="228">
        <f t="shared" si="113"/>
        <v>107.20236225855291</v>
      </c>
      <c r="I119" s="43"/>
      <c r="J119" s="352">
        <f t="shared" si="114"/>
        <v>1.9527624001854536</v>
      </c>
      <c r="K119" s="353">
        <f t="shared" si="115"/>
        <v>0.49207641692450521</v>
      </c>
      <c r="L119" s="45"/>
      <c r="M119" s="45"/>
      <c r="N119" s="45"/>
      <c r="O119" s="45"/>
    </row>
    <row r="120" spans="2:15">
      <c r="B120" s="60" t="s">
        <v>9</v>
      </c>
      <c r="C120" s="220"/>
      <c r="D120" s="351">
        <v>571.11985799181912</v>
      </c>
      <c r="E120" s="351">
        <v>215.34296028880868</v>
      </c>
      <c r="F120" s="211"/>
      <c r="G120" s="228">
        <f t="shared" si="112"/>
        <v>932.72335367037124</v>
      </c>
      <c r="H120" s="228">
        <f t="shared" si="113"/>
        <v>107.24678371222339</v>
      </c>
      <c r="I120" s="43"/>
      <c r="J120" s="352">
        <f t="shared" si="114"/>
        <v>1.6331481747982433</v>
      </c>
      <c r="K120" s="353">
        <f t="shared" si="115"/>
        <v>0.49802781371812033</v>
      </c>
      <c r="L120" s="45"/>
      <c r="M120" s="45"/>
      <c r="N120" s="45"/>
      <c r="O120" s="45"/>
    </row>
    <row r="121" spans="2:15">
      <c r="B121" s="60" t="s">
        <v>10</v>
      </c>
      <c r="C121" s="220"/>
      <c r="D121" s="351">
        <v>1072.5571076805275</v>
      </c>
      <c r="E121" s="351">
        <v>207.14285714285717</v>
      </c>
      <c r="F121" s="211"/>
      <c r="G121" s="228">
        <f t="shared" si="112"/>
        <v>1440.7510298140687</v>
      </c>
      <c r="H121" s="228">
        <f t="shared" si="113"/>
        <v>104.89551710693996</v>
      </c>
      <c r="I121" s="43"/>
      <c r="J121" s="352">
        <f t="shared" si="114"/>
        <v>1.3432860772605235</v>
      </c>
      <c r="K121" s="353">
        <f t="shared" si="115"/>
        <v>0.50639215155074457</v>
      </c>
      <c r="L121" s="45"/>
      <c r="M121" s="45"/>
      <c r="N121" s="45"/>
      <c r="O121" s="45"/>
    </row>
    <row r="122" spans="2:15">
      <c r="B122" s="60" t="s">
        <v>11</v>
      </c>
      <c r="C122" s="220"/>
      <c r="D122" s="351">
        <v>1452.2821576763486</v>
      </c>
      <c r="E122" s="351">
        <v>153.53319057815844</v>
      </c>
      <c r="F122" s="211"/>
      <c r="G122" s="228">
        <f t="shared" si="112"/>
        <v>1861.1053590075271</v>
      </c>
      <c r="H122" s="228">
        <f t="shared" si="113"/>
        <v>84.148992905632127</v>
      </c>
      <c r="I122" s="43"/>
      <c r="J122" s="352">
        <f t="shared" si="114"/>
        <v>1.2815039757737543</v>
      </c>
      <c r="K122" s="353">
        <f t="shared" si="115"/>
        <v>0.54808339870195544</v>
      </c>
      <c r="L122" s="45"/>
      <c r="M122" s="45"/>
      <c r="N122" s="45"/>
      <c r="O122" s="45"/>
    </row>
    <row r="123" spans="2:15">
      <c r="B123" s="60" t="s">
        <v>12</v>
      </c>
      <c r="C123" s="220"/>
      <c r="D123" s="351">
        <v>31200</v>
      </c>
      <c r="E123" s="351">
        <v>147.02380952380955</v>
      </c>
      <c r="F123" s="211"/>
      <c r="G123" s="228">
        <f t="shared" si="112"/>
        <v>2216.2920809992283</v>
      </c>
      <c r="H123" s="228">
        <f t="shared" si="113"/>
        <v>84.210217767761719</v>
      </c>
      <c r="I123" s="43" t="s">
        <v>46</v>
      </c>
      <c r="J123" s="352">
        <f t="shared" si="114"/>
        <v>7.1035002596129118E-2</v>
      </c>
      <c r="K123" s="353">
        <f t="shared" si="115"/>
        <v>0.57276585364307553</v>
      </c>
      <c r="L123" s="45"/>
      <c r="M123" s="45"/>
      <c r="N123" s="45"/>
      <c r="O123" s="45"/>
    </row>
    <row r="124" spans="2:15">
      <c r="B124" s="60" t="s">
        <v>13</v>
      </c>
      <c r="C124" s="220"/>
      <c r="D124" s="351">
        <v>3448.275862068966</v>
      </c>
      <c r="E124" s="351">
        <v>103.17460317460316</v>
      </c>
      <c r="F124" s="211"/>
      <c r="G124" s="228">
        <f t="shared" si="112"/>
        <v>3890.3743200880836</v>
      </c>
      <c r="H124" s="228">
        <f t="shared" si="113"/>
        <v>42.585013704931868</v>
      </c>
      <c r="I124" s="43"/>
      <c r="J124" s="352">
        <f t="shared" si="114"/>
        <v>1.1282085528255441</v>
      </c>
      <c r="K124" s="353">
        <f t="shared" si="115"/>
        <v>0.41274705590933969</v>
      </c>
      <c r="L124" s="45"/>
      <c r="M124" s="45"/>
      <c r="N124" s="45"/>
      <c r="O124" s="45"/>
    </row>
    <row r="125" spans="2:15">
      <c r="B125" s="60" t="s">
        <v>14</v>
      </c>
      <c r="C125" s="220"/>
      <c r="D125" s="351">
        <v>72151.89873417723</v>
      </c>
      <c r="E125" s="351">
        <v>52.369668246445499</v>
      </c>
      <c r="F125" s="211"/>
      <c r="G125" s="228">
        <f t="shared" si="112"/>
        <v>4239.5668124494969</v>
      </c>
      <c r="H125" s="228">
        <f t="shared" si="113"/>
        <v>42.753376723881303</v>
      </c>
      <c r="I125" s="43" t="s">
        <v>46</v>
      </c>
      <c r="J125" s="352">
        <f t="shared" si="114"/>
        <v>5.8758908453247403E-2</v>
      </c>
      <c r="K125" s="353">
        <f t="shared" si="115"/>
        <v>0.81637669581348005</v>
      </c>
      <c r="L125" s="45"/>
      <c r="M125" s="45"/>
      <c r="N125" s="45"/>
      <c r="O125" s="45"/>
    </row>
    <row r="126" spans="2:15" ht="15.75" thickBot="1">
      <c r="B126" s="82" t="s">
        <v>24</v>
      </c>
      <c r="C126" s="14"/>
      <c r="D126" s="354">
        <v>253.34122674680285</v>
      </c>
      <c r="E126" s="354">
        <v>196.54735243219591</v>
      </c>
      <c r="F126" s="11"/>
      <c r="G126" s="229">
        <f t="shared" si="112"/>
        <v>676.85594657231172</v>
      </c>
      <c r="H126" s="229">
        <f t="shared" si="113"/>
        <v>104.58503283036919</v>
      </c>
      <c r="I126" s="11"/>
      <c r="J126" s="355">
        <f t="shared" si="114"/>
        <v>2.6717165431932748</v>
      </c>
      <c r="K126" s="356">
        <f t="shared" si="115"/>
        <v>0.53211112506055502</v>
      </c>
      <c r="L126" s="45"/>
      <c r="M126" s="45"/>
      <c r="N126" s="45"/>
      <c r="O126" s="45"/>
    </row>
    <row r="127" spans="2:15">
      <c r="B127" s="44"/>
      <c r="C127" s="45"/>
      <c r="D127" s="45"/>
      <c r="E127" s="45"/>
      <c r="F127" s="45"/>
      <c r="G127" s="45"/>
      <c r="H127" s="45"/>
      <c r="I127" s="45"/>
      <c r="J127" s="45"/>
      <c r="K127" s="47"/>
    </row>
    <row r="128" spans="2:15" ht="15.75" thickBot="1">
      <c r="B128" s="84"/>
      <c r="C128" s="391"/>
      <c r="D128" s="381" t="s">
        <v>221</v>
      </c>
      <c r="E128" s="391"/>
      <c r="F128" s="391"/>
      <c r="G128" s="391"/>
      <c r="H128" s="391"/>
      <c r="I128" s="391"/>
      <c r="J128" s="391"/>
      <c r="K128" s="40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2"/>
  <sheetViews>
    <sheetView zoomScale="130" zoomScaleNormal="130" workbookViewId="0">
      <selection activeCell="F56" sqref="F56"/>
    </sheetView>
  </sheetViews>
  <sheetFormatPr defaultRowHeight="15"/>
  <cols>
    <col min="1" max="1" width="2.85546875" customWidth="1"/>
    <col min="2" max="2" width="40.7109375" customWidth="1"/>
    <col min="3" max="3" width="11.42578125" customWidth="1"/>
    <col min="4" max="5" width="12" customWidth="1"/>
    <col min="6" max="6" width="10.140625" customWidth="1"/>
    <col min="7" max="7" width="11.7109375" customWidth="1"/>
    <col min="8" max="8" width="11.28515625" customWidth="1"/>
    <col min="9" max="9" width="11.140625" customWidth="1"/>
    <col min="10" max="11" width="12.42578125" customWidth="1"/>
  </cols>
  <sheetData>
    <row r="1" spans="2:11" ht="23.25">
      <c r="B1" s="90" t="s">
        <v>179</v>
      </c>
    </row>
    <row r="2" spans="2:11">
      <c r="B2" s="1" t="s">
        <v>181</v>
      </c>
    </row>
    <row r="4" spans="2:11" ht="48" customHeight="1">
      <c r="B4" s="1" t="s">
        <v>182</v>
      </c>
      <c r="C4" s="197" t="s">
        <v>164</v>
      </c>
      <c r="D4" s="197" t="s">
        <v>163</v>
      </c>
      <c r="E4" s="197" t="s">
        <v>165</v>
      </c>
      <c r="F4" s="197" t="s">
        <v>204</v>
      </c>
      <c r="G4" s="197" t="s">
        <v>203</v>
      </c>
      <c r="H4" s="197" t="s">
        <v>95</v>
      </c>
      <c r="I4" s="197" t="s">
        <v>93</v>
      </c>
      <c r="J4" s="197" t="s">
        <v>94</v>
      </c>
      <c r="K4" s="196" t="s">
        <v>96</v>
      </c>
    </row>
    <row r="5" spans="2:11" ht="48" customHeight="1">
      <c r="B5" t="s">
        <v>176</v>
      </c>
      <c r="C5">
        <v>135</v>
      </c>
      <c r="D5">
        <v>0.8</v>
      </c>
      <c r="E5">
        <f>C5*D5</f>
        <v>108</v>
      </c>
      <c r="F5" s="89">
        <f>(3)^0.5*22*E5</f>
        <v>4115.3527187836526</v>
      </c>
      <c r="G5">
        <v>67545</v>
      </c>
      <c r="H5" s="3">
        <f>G5/F5</f>
        <v>16.412930947985384</v>
      </c>
    </row>
    <row r="6" spans="2:11">
      <c r="B6" t="s">
        <v>162</v>
      </c>
      <c r="C6">
        <v>230</v>
      </c>
      <c r="D6">
        <v>0.8</v>
      </c>
      <c r="E6">
        <f>C6*D6</f>
        <v>184</v>
      </c>
      <c r="F6" s="89">
        <f>(3)^0.5*22*E6</f>
        <v>7011.3416690388149</v>
      </c>
      <c r="G6">
        <v>73998</v>
      </c>
      <c r="H6" s="3">
        <f>G6/F6</f>
        <v>10.554042791376959</v>
      </c>
      <c r="I6" s="89">
        <f>F6-F5</f>
        <v>2895.9889502551623</v>
      </c>
      <c r="J6">
        <f>G6-G5</f>
        <v>6453</v>
      </c>
      <c r="K6" s="3">
        <f>J6/I6</f>
        <v>2.2282543583018275</v>
      </c>
    </row>
    <row r="7" spans="2:11">
      <c r="B7" t="s">
        <v>171</v>
      </c>
      <c r="C7">
        <v>330</v>
      </c>
      <c r="D7">
        <v>0.8</v>
      </c>
      <c r="E7">
        <f t="shared" ref="E7" si="0">C7*D7</f>
        <v>264</v>
      </c>
      <c r="F7" s="89">
        <f>(3)^0.5*22*E7</f>
        <v>10059.75109036004</v>
      </c>
      <c r="G7">
        <v>84994</v>
      </c>
      <c r="H7" s="3">
        <f t="shared" ref="H7" si="1">G7/F7</f>
        <v>8.4489168008786244</v>
      </c>
      <c r="I7" s="89">
        <f>F7-F6</f>
        <v>3048.4094213212247</v>
      </c>
      <c r="J7">
        <f>G7-G6</f>
        <v>10996</v>
      </c>
      <c r="K7" s="3">
        <f t="shared" ref="K7" si="2">J7/I7</f>
        <v>3.6071270227324566</v>
      </c>
    </row>
    <row r="8" spans="2:11" ht="15.75" thickBot="1"/>
    <row r="9" spans="2:11" ht="18.75">
      <c r="B9" s="417" t="s">
        <v>202</v>
      </c>
      <c r="C9" s="40"/>
      <c r="D9" s="40"/>
      <c r="E9" s="40"/>
      <c r="F9" s="40"/>
      <c r="G9" s="41"/>
    </row>
    <row r="10" spans="2:11" ht="8.25" customHeight="1">
      <c r="B10" s="44"/>
      <c r="C10" s="45"/>
      <c r="D10" s="45"/>
      <c r="E10" s="45"/>
      <c r="F10" s="377"/>
      <c r="G10" s="47"/>
      <c r="H10" s="3"/>
    </row>
    <row r="11" spans="2:11" ht="45">
      <c r="B11" s="44"/>
      <c r="C11" s="418" t="s">
        <v>201</v>
      </c>
      <c r="D11" s="418" t="s">
        <v>175</v>
      </c>
      <c r="E11" s="418" t="s">
        <v>200</v>
      </c>
      <c r="F11" s="419" t="s">
        <v>177</v>
      </c>
      <c r="G11" s="420" t="s">
        <v>199</v>
      </c>
      <c r="H11" s="196"/>
      <c r="I11" s="3"/>
    </row>
    <row r="12" spans="2:11">
      <c r="B12" s="44" t="s">
        <v>198</v>
      </c>
      <c r="C12" s="45">
        <f>G5</f>
        <v>67545</v>
      </c>
      <c r="D12" s="426">
        <f>C12/C14</f>
        <v>0.79470315551685999</v>
      </c>
      <c r="E12" s="424">
        <f>F5</f>
        <v>4115.3527187836526</v>
      </c>
      <c r="F12" s="377"/>
      <c r="G12" s="421"/>
      <c r="I12" s="3"/>
    </row>
    <row r="13" spans="2:11">
      <c r="B13" s="44" t="s">
        <v>172</v>
      </c>
      <c r="C13" s="45">
        <f>G7-G5</f>
        <v>17449</v>
      </c>
      <c r="D13" s="426">
        <f>C13/C14</f>
        <v>0.20529684448313998</v>
      </c>
      <c r="E13" s="425"/>
      <c r="F13" s="424">
        <f>E14-E12</f>
        <v>5944.398371576387</v>
      </c>
      <c r="G13" s="423">
        <f>C13/F13</f>
        <v>2.9353685451893297</v>
      </c>
      <c r="I13" s="3"/>
    </row>
    <row r="14" spans="2:11" ht="15.75" thickBot="1">
      <c r="B14" s="44" t="s">
        <v>197</v>
      </c>
      <c r="C14" s="406">
        <f>SUM(C12:C13)</f>
        <v>84994</v>
      </c>
      <c r="D14" s="45"/>
      <c r="E14" s="424">
        <f>F7</f>
        <v>10059.75109036004</v>
      </c>
      <c r="F14" s="377"/>
      <c r="G14" s="47"/>
      <c r="I14" s="3"/>
    </row>
    <row r="15" spans="2:11" ht="16.5" thickTop="1" thickBot="1">
      <c r="B15" s="422" t="s">
        <v>181</v>
      </c>
      <c r="C15" s="391"/>
      <c r="D15" s="391"/>
      <c r="E15" s="391"/>
      <c r="F15" s="391"/>
      <c r="G15" s="404"/>
    </row>
    <row r="16" spans="2:11">
      <c r="B16" s="416"/>
    </row>
    <row r="50" spans="2:11" ht="45">
      <c r="B50" s="1" t="s">
        <v>183</v>
      </c>
      <c r="C50" s="197"/>
      <c r="D50" s="197"/>
      <c r="E50" s="197" t="s">
        <v>168</v>
      </c>
      <c r="F50" s="197" t="s">
        <v>205</v>
      </c>
      <c r="G50" s="197" t="s">
        <v>206</v>
      </c>
      <c r="H50" s="197" t="s">
        <v>95</v>
      </c>
      <c r="I50" s="197" t="s">
        <v>93</v>
      </c>
      <c r="J50" s="197" t="s">
        <v>94</v>
      </c>
      <c r="K50" s="196" t="s">
        <v>184</v>
      </c>
    </row>
    <row r="51" spans="2:11">
      <c r="B51" t="s">
        <v>166</v>
      </c>
      <c r="C51" t="s">
        <v>170</v>
      </c>
      <c r="E51">
        <v>93</v>
      </c>
      <c r="F51" s="89">
        <f>(3)^0.5*22*E51</f>
        <v>3543.7759522859228</v>
      </c>
      <c r="G51">
        <v>47170</v>
      </c>
      <c r="H51" s="3">
        <f>G51/F51</f>
        <v>13.310660898179203</v>
      </c>
    </row>
    <row r="52" spans="2:11">
      <c r="B52" t="s">
        <v>169</v>
      </c>
      <c r="E52">
        <v>207</v>
      </c>
      <c r="F52" s="89">
        <f t="shared" ref="F52" si="3">(3)^0.5*22*E52</f>
        <v>7887.7593776686672</v>
      </c>
      <c r="G52">
        <v>50289</v>
      </c>
      <c r="H52" s="3">
        <f t="shared" ref="H52" si="4">G52/F52</f>
        <v>6.3755748105571124</v>
      </c>
      <c r="I52" s="89">
        <f>F52-F51</f>
        <v>4343.9834253827448</v>
      </c>
      <c r="J52" s="89">
        <f>G52-G51</f>
        <v>3119</v>
      </c>
      <c r="K52" s="3">
        <f t="shared" ref="K52" si="5">J52/I52</f>
        <v>0.71800458118119714</v>
      </c>
    </row>
    <row r="53" spans="2:11">
      <c r="B53" t="s">
        <v>167</v>
      </c>
      <c r="E53">
        <v>240</v>
      </c>
      <c r="F53" s="89">
        <f>(3)^0.5*22*E53</f>
        <v>9145.2282639636724</v>
      </c>
      <c r="G53">
        <v>50981</v>
      </c>
      <c r="H53" s="3">
        <f>G53/F53</f>
        <v>5.5746011502947557</v>
      </c>
      <c r="I53" s="89">
        <f>F53-F52</f>
        <v>1257.4688862950052</v>
      </c>
      <c r="J53" s="89">
        <f>G53-G52</f>
        <v>692</v>
      </c>
      <c r="K53" s="3">
        <f>J53/I53</f>
        <v>0.55031182683088287</v>
      </c>
    </row>
    <row r="54" spans="2:11">
      <c r="F54" s="89"/>
      <c r="H54" s="3"/>
    </row>
    <row r="55" spans="2:11">
      <c r="C55" t="s">
        <v>174</v>
      </c>
      <c r="D55" t="s">
        <v>175</v>
      </c>
      <c r="E55" s="2" t="s">
        <v>177</v>
      </c>
      <c r="F55" s="89" t="s">
        <v>178</v>
      </c>
      <c r="H55" s="3"/>
    </row>
    <row r="56" spans="2:11">
      <c r="B56" t="s">
        <v>180</v>
      </c>
      <c r="C56">
        <f>G51</f>
        <v>47170</v>
      </c>
      <c r="D56" s="405">
        <f>C56/C58</f>
        <v>0.92524666052058613</v>
      </c>
      <c r="E56" s="89"/>
      <c r="F56" s="89"/>
      <c r="H56" s="3"/>
    </row>
    <row r="57" spans="2:11">
      <c r="B57" t="s">
        <v>172</v>
      </c>
      <c r="C57">
        <f>G53-G51</f>
        <v>3811</v>
      </c>
      <c r="D57" s="405">
        <f>C57/C58</f>
        <v>7.4753339479413899E-2</v>
      </c>
      <c r="E57" s="89">
        <f>F53-F51</f>
        <v>5601.4523116777491</v>
      </c>
      <c r="F57" s="3">
        <f>C57/E57</f>
        <v>0.68035926898010635</v>
      </c>
      <c r="H57" s="3"/>
    </row>
    <row r="58" spans="2:11" ht="15.75" thickBot="1">
      <c r="B58" t="s">
        <v>173</v>
      </c>
      <c r="C58" s="406">
        <f>SUM(C56:C57)</f>
        <v>50981</v>
      </c>
      <c r="F58" s="89"/>
      <c r="H58" s="3"/>
    </row>
    <row r="59" spans="2:11" ht="15.75" thickTop="1">
      <c r="F59" s="89"/>
      <c r="H59" s="3"/>
    </row>
    <row r="60" spans="2:11">
      <c r="F60" s="89"/>
      <c r="H60" s="3"/>
    </row>
    <row r="61" spans="2:11">
      <c r="F61" s="89"/>
      <c r="H61" s="3"/>
    </row>
    <row r="62" spans="2:11">
      <c r="F62" s="89"/>
      <c r="H62" s="3"/>
    </row>
    <row r="63" spans="2:11">
      <c r="F63" s="89"/>
      <c r="H63" s="3"/>
    </row>
    <row r="64" spans="2:11">
      <c r="F64" s="89"/>
      <c r="H64" s="3"/>
    </row>
    <row r="65" spans="6:8">
      <c r="F65" s="89"/>
      <c r="H65" s="3"/>
    </row>
    <row r="66" spans="6:8">
      <c r="F66" s="89"/>
      <c r="H66" s="3"/>
    </row>
    <row r="67" spans="6:8">
      <c r="F67" s="89"/>
      <c r="H67" s="3"/>
    </row>
    <row r="68" spans="6:8">
      <c r="F68" s="89"/>
      <c r="H68" s="3"/>
    </row>
    <row r="69" spans="6:8">
      <c r="F69" s="89"/>
      <c r="H69" s="3"/>
    </row>
    <row r="70" spans="6:8">
      <c r="F70" s="89"/>
      <c r="H70" s="3"/>
    </row>
    <row r="71" spans="6:8">
      <c r="F71" s="89"/>
      <c r="H71" s="3"/>
    </row>
    <row r="72" spans="6:8">
      <c r="F72" s="89"/>
      <c r="H72" s="3"/>
    </row>
    <row r="73" spans="6:8">
      <c r="F73" s="89"/>
      <c r="H73" s="3"/>
    </row>
    <row r="74" spans="6:8">
      <c r="F74" s="89"/>
      <c r="H74" s="3"/>
    </row>
    <row r="75" spans="6:8">
      <c r="F75" s="89"/>
      <c r="H75" s="3"/>
    </row>
    <row r="76" spans="6:8">
      <c r="F76" s="89"/>
      <c r="H76" s="3"/>
    </row>
    <row r="77" spans="6:8">
      <c r="F77" s="89"/>
      <c r="H77" s="3"/>
    </row>
    <row r="78" spans="6:8">
      <c r="F78" s="89"/>
      <c r="H78" s="3"/>
    </row>
    <row r="79" spans="6:8">
      <c r="F79" s="89"/>
      <c r="H79" s="3"/>
    </row>
    <row r="80" spans="6:8">
      <c r="F80" s="89"/>
      <c r="H80" s="3"/>
    </row>
    <row r="81" spans="6:8">
      <c r="F81" s="89"/>
      <c r="H81" s="3"/>
    </row>
    <row r="82" spans="6:8">
      <c r="F82" s="89"/>
      <c r="H82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L67"/>
  <sheetViews>
    <sheetView workbookViewId="0">
      <selection activeCell="L64" sqref="L64"/>
    </sheetView>
  </sheetViews>
  <sheetFormatPr defaultRowHeight="15"/>
  <cols>
    <col min="1" max="1" width="4.85546875" customWidth="1"/>
    <col min="2" max="2" width="36.28515625" customWidth="1"/>
    <col min="3" max="3" width="12" bestFit="1" customWidth="1"/>
    <col min="4" max="4" width="12.28515625" customWidth="1"/>
    <col min="5" max="5" width="10.28515625" customWidth="1"/>
    <col min="6" max="6" width="10.85546875" customWidth="1"/>
    <col min="7" max="7" width="12.42578125" customWidth="1"/>
    <col min="8" max="9" width="12.7109375" customWidth="1"/>
    <col min="10" max="10" width="11.85546875" customWidth="1"/>
    <col min="11" max="11" width="11.7109375" customWidth="1"/>
    <col min="12" max="12" width="11.42578125" customWidth="1"/>
  </cols>
  <sheetData>
    <row r="1" spans="2:8" ht="26.25">
      <c r="B1" s="195" t="s">
        <v>122</v>
      </c>
    </row>
    <row r="2" spans="2:8" ht="22.5" customHeight="1">
      <c r="B2" s="195" t="s">
        <v>123</v>
      </c>
    </row>
    <row r="4" spans="2:8" ht="24" customHeight="1">
      <c r="B4" s="195" t="s">
        <v>111</v>
      </c>
    </row>
    <row r="5" spans="2:8" ht="31.5">
      <c r="B5" s="90" t="s">
        <v>52</v>
      </c>
      <c r="C5" s="5" t="s">
        <v>17</v>
      </c>
      <c r="D5" s="5" t="s">
        <v>37</v>
      </c>
      <c r="E5" s="5" t="s">
        <v>4</v>
      </c>
      <c r="F5" s="5" t="s">
        <v>47</v>
      </c>
      <c r="G5" s="5" t="s">
        <v>48</v>
      </c>
      <c r="H5" s="5" t="s">
        <v>49</v>
      </c>
    </row>
    <row r="6" spans="2:8">
      <c r="B6" t="s">
        <v>16</v>
      </c>
      <c r="C6">
        <v>4635699431</v>
      </c>
      <c r="D6">
        <v>1633296</v>
      </c>
      <c r="E6">
        <v>796776</v>
      </c>
      <c r="F6" s="89">
        <f>C6/E6</f>
        <v>5818.0711153448401</v>
      </c>
      <c r="G6" s="3">
        <f>D6/E6</f>
        <v>2.0498810205126659</v>
      </c>
      <c r="H6" s="12">
        <f>C6/(D6*8760)</f>
        <v>0.32400093599847002</v>
      </c>
    </row>
    <row r="7" spans="2:8">
      <c r="B7" t="s">
        <v>18</v>
      </c>
      <c r="C7">
        <v>149991483</v>
      </c>
      <c r="D7">
        <v>52105</v>
      </c>
      <c r="E7">
        <v>15076</v>
      </c>
      <c r="F7" s="89">
        <f>C7/E7</f>
        <v>9949.0238126824097</v>
      </c>
      <c r="G7" s="3">
        <f>D7/E7</f>
        <v>3.4561554789068718</v>
      </c>
      <c r="H7" s="12">
        <f>C7/(D7*8760)</f>
        <v>0.32861175340099613</v>
      </c>
    </row>
    <row r="8" spans="2:8">
      <c r="B8" s="1" t="s">
        <v>0</v>
      </c>
      <c r="C8" s="1">
        <f>SUM(C6:C7)</f>
        <v>4785690914</v>
      </c>
      <c r="D8" s="1">
        <f>SUM(D6:D7)</f>
        <v>1685401</v>
      </c>
      <c r="E8" s="1">
        <f>SUM(E6:E7)</f>
        <v>811852</v>
      </c>
      <c r="F8" s="373">
        <f>C8/E8</f>
        <v>5894.7824406418904</v>
      </c>
      <c r="G8" s="3">
        <f>D8/E8</f>
        <v>2.0759953784679968</v>
      </c>
      <c r="H8" s="12">
        <f>C8/(D8*8760)</f>
        <v>0.32414348168389362</v>
      </c>
    </row>
    <row r="10" spans="2:8" ht="31.5">
      <c r="B10" s="90" t="s">
        <v>51</v>
      </c>
      <c r="C10" s="5" t="s">
        <v>17</v>
      </c>
      <c r="D10" s="5" t="s">
        <v>37</v>
      </c>
      <c r="E10" s="5" t="s">
        <v>4</v>
      </c>
      <c r="F10" s="5" t="s">
        <v>47</v>
      </c>
      <c r="G10" s="5" t="s">
        <v>48</v>
      </c>
      <c r="H10" s="5" t="s">
        <v>49</v>
      </c>
    </row>
    <row r="11" spans="2:8">
      <c r="B11" t="s">
        <v>16</v>
      </c>
      <c r="C11">
        <v>4783329262</v>
      </c>
      <c r="D11">
        <v>1682894</v>
      </c>
      <c r="E11">
        <v>801690</v>
      </c>
      <c r="F11" s="89">
        <f>C11/E11</f>
        <v>5966.5572253614237</v>
      </c>
      <c r="G11" s="3">
        <f>D11/E11</f>
        <v>2.0991829759632776</v>
      </c>
      <c r="H11" s="12">
        <f>C11/(D11*8760)</f>
        <v>0.32446615960146452</v>
      </c>
    </row>
    <row r="12" spans="2:8">
      <c r="B12" t="s">
        <v>18</v>
      </c>
      <c r="C12">
        <v>252860560</v>
      </c>
      <c r="D12">
        <v>96946</v>
      </c>
      <c r="E12">
        <v>18902</v>
      </c>
      <c r="F12" s="89">
        <f>C12/E12</f>
        <v>13377.450005290446</v>
      </c>
      <c r="G12" s="3">
        <f>D12/E12</f>
        <v>5.1288752512961588</v>
      </c>
      <c r="H12" s="12">
        <f>C12/(D12*8760)</f>
        <v>0.29774679440712981</v>
      </c>
    </row>
    <row r="13" spans="2:8">
      <c r="B13" s="1" t="s">
        <v>0</v>
      </c>
      <c r="C13" s="1">
        <f>SUM(C11:C12)</f>
        <v>5036189822</v>
      </c>
      <c r="D13" s="1">
        <f>SUM(D11:D12)</f>
        <v>1779840</v>
      </c>
      <c r="E13" s="1">
        <f>SUM(E11:E12)</f>
        <v>820592</v>
      </c>
      <c r="F13" s="373">
        <f>C13/E13</f>
        <v>6137.2640995768907</v>
      </c>
      <c r="G13" s="3">
        <f>D13/E13</f>
        <v>2.1689706943279972</v>
      </c>
      <c r="H13" s="12">
        <f>C13/(D13*8760)</f>
        <v>0.32301078407437783</v>
      </c>
    </row>
    <row r="14" spans="2:8" ht="15.75" thickBot="1"/>
    <row r="15" spans="2:8" ht="31.5">
      <c r="B15" s="375" t="s">
        <v>53</v>
      </c>
      <c r="C15" s="175" t="s">
        <v>17</v>
      </c>
      <c r="D15" s="175" t="s">
        <v>37</v>
      </c>
      <c r="E15" s="175" t="s">
        <v>4</v>
      </c>
      <c r="F15" s="175" t="s">
        <v>47</v>
      </c>
      <c r="G15" s="175" t="s">
        <v>48</v>
      </c>
      <c r="H15" s="376" t="s">
        <v>49</v>
      </c>
    </row>
    <row r="16" spans="2:8">
      <c r="B16" s="44" t="s">
        <v>16</v>
      </c>
      <c r="C16" s="45">
        <v>5112296250</v>
      </c>
      <c r="D16" s="45">
        <v>0</v>
      </c>
      <c r="E16" s="45">
        <v>856826</v>
      </c>
      <c r="F16" s="377">
        <f>C16/E16</f>
        <v>5966.5512601158225</v>
      </c>
      <c r="G16" s="378">
        <f>D16/E16</f>
        <v>0</v>
      </c>
      <c r="H16" s="379" t="e">
        <f>C16/(D16*8760)</f>
        <v>#DIV/0!</v>
      </c>
    </row>
    <row r="17" spans="2:11" ht="15.75" thickBot="1">
      <c r="B17" s="44" t="s">
        <v>18</v>
      </c>
      <c r="C17" s="45">
        <v>159593976</v>
      </c>
      <c r="D17" s="45">
        <v>0</v>
      </c>
      <c r="E17" s="45">
        <v>15797</v>
      </c>
      <c r="F17" s="377">
        <f>C17/E17</f>
        <v>10102.802810660252</v>
      </c>
      <c r="G17" s="378">
        <f>D17/E17</f>
        <v>0</v>
      </c>
      <c r="H17" s="379" t="e">
        <f>C17/(D17*8760)</f>
        <v>#DIV/0!</v>
      </c>
      <c r="I17" s="1" t="s">
        <v>150</v>
      </c>
    </row>
    <row r="18" spans="2:11" ht="15.75" thickBot="1">
      <c r="B18" s="380" t="s">
        <v>0</v>
      </c>
      <c r="C18" s="381">
        <f>SUM(C16:C17)</f>
        <v>5271890226</v>
      </c>
      <c r="D18" s="381">
        <f>SUM(D16:D17)</f>
        <v>0</v>
      </c>
      <c r="E18" s="381">
        <f>SUM(E16:E17)</f>
        <v>872623</v>
      </c>
      <c r="F18" s="442">
        <f>C18/E18</f>
        <v>6041.4293755722692</v>
      </c>
      <c r="G18" s="382">
        <f>D18/E18</f>
        <v>0</v>
      </c>
      <c r="H18" s="383" t="e">
        <f>C18/(D18*8760)</f>
        <v>#DIV/0!</v>
      </c>
      <c r="I18" s="387" t="s">
        <v>151</v>
      </c>
    </row>
    <row r="19" spans="2:11" ht="16.5" thickBot="1">
      <c r="F19" s="384" t="s">
        <v>112</v>
      </c>
      <c r="I19" s="1" t="s">
        <v>152</v>
      </c>
    </row>
    <row r="20" spans="2:11" ht="46.5">
      <c r="B20" s="90" t="s">
        <v>54</v>
      </c>
      <c r="C20" s="5" t="s">
        <v>17</v>
      </c>
      <c r="D20" s="5" t="s">
        <v>37</v>
      </c>
      <c r="E20" s="5" t="s">
        <v>4</v>
      </c>
      <c r="F20" s="5" t="s">
        <v>47</v>
      </c>
      <c r="G20" s="5" t="s">
        <v>48</v>
      </c>
      <c r="H20" s="5" t="s">
        <v>49</v>
      </c>
      <c r="J20" s="385" t="s">
        <v>117</v>
      </c>
      <c r="K20" s="376" t="s">
        <v>118</v>
      </c>
    </row>
    <row r="21" spans="2:11">
      <c r="B21" t="s">
        <v>16</v>
      </c>
      <c r="C21">
        <v>5101287006</v>
      </c>
      <c r="D21">
        <v>1787914</v>
      </c>
      <c r="E21">
        <v>825867</v>
      </c>
      <c r="F21" s="89">
        <f>C21/E21</f>
        <v>6176.8868425545515</v>
      </c>
      <c r="G21" s="3">
        <f>D21/E21</f>
        <v>2.1648933787159432</v>
      </c>
      <c r="H21" s="12">
        <f>C21/(D21*8760)</f>
        <v>0.32570845091825923</v>
      </c>
      <c r="J21" s="44"/>
      <c r="K21" s="47"/>
    </row>
    <row r="22" spans="2:11">
      <c r="B22" t="s">
        <v>18</v>
      </c>
      <c r="C22">
        <v>172417706</v>
      </c>
      <c r="D22">
        <v>61980</v>
      </c>
      <c r="E22">
        <v>15744</v>
      </c>
      <c r="F22" s="89">
        <f>C22/E22</f>
        <v>10951.32787093496</v>
      </c>
      <c r="G22" s="3">
        <f>D22/E22</f>
        <v>3.9367378048780486</v>
      </c>
      <c r="H22" s="12">
        <f>C22/(D22*8760)</f>
        <v>0.31756028605486231</v>
      </c>
      <c r="J22" s="42">
        <v>69813</v>
      </c>
      <c r="K22" s="46">
        <v>2.1</v>
      </c>
    </row>
    <row r="23" spans="2:11">
      <c r="B23" s="1" t="s">
        <v>0</v>
      </c>
      <c r="C23" s="1">
        <f>SUM(C21:C22)</f>
        <v>5273704712</v>
      </c>
      <c r="D23" s="1">
        <f>SUM(D21:D22)</f>
        <v>1849894</v>
      </c>
      <c r="E23" s="1">
        <f>SUM(E21:E22)</f>
        <v>841611</v>
      </c>
      <c r="F23" s="373">
        <f>C23/E23</f>
        <v>6266.2022145623096</v>
      </c>
      <c r="G23" s="3">
        <f>D23/E23</f>
        <v>2.1980392366544641</v>
      </c>
      <c r="H23" s="12">
        <f>C23/(D23*8760)</f>
        <v>0.32543544973103805</v>
      </c>
      <c r="J23" s="42"/>
      <c r="K23" s="46"/>
    </row>
    <row r="24" spans="2:11">
      <c r="J24" s="42"/>
      <c r="K24" s="46"/>
    </row>
    <row r="25" spans="2:11" ht="31.5">
      <c r="B25" s="90" t="s">
        <v>55</v>
      </c>
      <c r="C25" s="5" t="s">
        <v>17</v>
      </c>
      <c r="D25" s="5" t="s">
        <v>37</v>
      </c>
      <c r="E25" s="5" t="s">
        <v>4</v>
      </c>
      <c r="F25" s="5" t="s">
        <v>47</v>
      </c>
      <c r="G25" s="5" t="s">
        <v>48</v>
      </c>
      <c r="H25" s="5" t="s">
        <v>49</v>
      </c>
      <c r="J25" s="42"/>
      <c r="K25" s="46"/>
    </row>
    <row r="26" spans="2:11">
      <c r="B26" t="s">
        <v>16</v>
      </c>
      <c r="C26">
        <v>5566407460</v>
      </c>
      <c r="D26">
        <v>2238840</v>
      </c>
      <c r="E26">
        <v>861104</v>
      </c>
      <c r="F26" s="89">
        <f>C26/E26</f>
        <v>6464.2684971850094</v>
      </c>
      <c r="G26" s="3">
        <f>D26/E26</f>
        <v>2.5999646964826546</v>
      </c>
      <c r="H26" s="12">
        <f>C26/(D26*8760)</f>
        <v>0.28382315911476991</v>
      </c>
      <c r="J26" s="42"/>
      <c r="K26" s="46"/>
    </row>
    <row r="27" spans="2:11">
      <c r="B27" t="s">
        <v>18</v>
      </c>
      <c r="C27">
        <v>193825856</v>
      </c>
      <c r="D27">
        <v>79491</v>
      </c>
      <c r="E27">
        <v>19537</v>
      </c>
      <c r="F27" s="89">
        <f>C27/E27</f>
        <v>9920.9630956646361</v>
      </c>
      <c r="G27" s="3">
        <f>D27/E27</f>
        <v>4.068741362542867</v>
      </c>
      <c r="H27" s="12">
        <f>C27/(D27*8760)</f>
        <v>0.27834898629286831</v>
      </c>
      <c r="J27" s="42"/>
      <c r="K27" s="46"/>
    </row>
    <row r="28" spans="2:11">
      <c r="B28" s="1" t="s">
        <v>0</v>
      </c>
      <c r="C28" s="1">
        <f>SUM(C26:C27)</f>
        <v>5760233316</v>
      </c>
      <c r="D28" s="1">
        <f>SUM(D26:D27)</f>
        <v>2318331</v>
      </c>
      <c r="E28" s="1">
        <f>SUM(E26:E27)</f>
        <v>880641</v>
      </c>
      <c r="F28" s="373">
        <f>C28/E28</f>
        <v>6540.9551860519778</v>
      </c>
      <c r="G28" s="3">
        <f>D28/E28</f>
        <v>2.6325494724865184</v>
      </c>
      <c r="H28" s="12">
        <f>C28/(D28*8760)</f>
        <v>0.28363546051962285</v>
      </c>
      <c r="J28" s="42">
        <v>94893</v>
      </c>
      <c r="K28" s="46">
        <v>2.2000000000000002</v>
      </c>
    </row>
    <row r="29" spans="2:11">
      <c r="J29" s="42"/>
      <c r="K29" s="46"/>
    </row>
    <row r="30" spans="2:11" ht="31.5">
      <c r="B30" s="90" t="s">
        <v>44</v>
      </c>
      <c r="C30" s="5" t="s">
        <v>17</v>
      </c>
      <c r="D30" s="5" t="s">
        <v>37</v>
      </c>
      <c r="E30" s="5" t="s">
        <v>4</v>
      </c>
      <c r="F30" s="5" t="s">
        <v>47</v>
      </c>
      <c r="G30" s="5" t="s">
        <v>48</v>
      </c>
      <c r="H30" s="5" t="s">
        <v>49</v>
      </c>
      <c r="J30" s="42"/>
      <c r="K30" s="46"/>
    </row>
    <row r="31" spans="2:11">
      <c r="B31" t="s">
        <v>16</v>
      </c>
      <c r="C31">
        <v>5319275949</v>
      </c>
      <c r="D31">
        <v>2158583</v>
      </c>
      <c r="E31">
        <v>928361</v>
      </c>
      <c r="F31" s="89">
        <f>C31/E31</f>
        <v>5729.7494713802071</v>
      </c>
      <c r="G31" s="3">
        <f>D31/E31</f>
        <v>2.3251547619945256</v>
      </c>
      <c r="H31" s="12">
        <f>C31/(D31*8760)</f>
        <v>0.28130643197380645</v>
      </c>
      <c r="J31" s="42"/>
      <c r="K31" s="46"/>
    </row>
    <row r="32" spans="2:11">
      <c r="B32" t="s">
        <v>18</v>
      </c>
      <c r="C32">
        <v>213268785</v>
      </c>
      <c r="D32">
        <v>87672</v>
      </c>
      <c r="E32">
        <v>24799</v>
      </c>
      <c r="F32" s="89">
        <f>C32/E32</f>
        <v>8599.8945521996848</v>
      </c>
      <c r="G32" s="3">
        <f>D32/E32</f>
        <v>3.5353038428968908</v>
      </c>
      <c r="H32" s="12">
        <f>C32/(D32*8760)</f>
        <v>0.27769130066986913</v>
      </c>
      <c r="J32" s="42"/>
      <c r="K32" s="46"/>
    </row>
    <row r="33" spans="2:11">
      <c r="B33" s="1" t="s">
        <v>0</v>
      </c>
      <c r="C33" s="1">
        <f>SUM(C31:C32)</f>
        <v>5532544734</v>
      </c>
      <c r="D33" s="1">
        <f>SUM(D31:D32)</f>
        <v>2246255</v>
      </c>
      <c r="E33" s="1">
        <f>SUM(E31:E32)</f>
        <v>953160</v>
      </c>
      <c r="F33" s="373">
        <f>C33/E33</f>
        <v>5804.4239519073399</v>
      </c>
      <c r="G33" s="3">
        <f>D33/E33</f>
        <v>2.3566400184648959</v>
      </c>
      <c r="H33" s="12">
        <f>C33/(D33*8760)</f>
        <v>0.28116533232497815</v>
      </c>
      <c r="J33" s="42">
        <v>119081</v>
      </c>
      <c r="K33" s="46">
        <v>2.4</v>
      </c>
    </row>
    <row r="34" spans="2:11">
      <c r="B34" s="1"/>
      <c r="C34" s="1"/>
      <c r="D34" s="1"/>
      <c r="E34" s="1"/>
      <c r="F34" s="374"/>
      <c r="G34" s="3"/>
      <c r="H34" s="12"/>
      <c r="J34" s="42"/>
      <c r="K34" s="46"/>
    </row>
    <row r="35" spans="2:11" ht="31.5">
      <c r="B35" s="90" t="s">
        <v>113</v>
      </c>
      <c r="C35" s="5" t="s">
        <v>17</v>
      </c>
      <c r="D35" s="5" t="s">
        <v>37</v>
      </c>
      <c r="E35" s="5" t="s">
        <v>4</v>
      </c>
      <c r="F35" s="5" t="s">
        <v>47</v>
      </c>
      <c r="G35" s="5" t="s">
        <v>48</v>
      </c>
      <c r="H35" s="5" t="s">
        <v>49</v>
      </c>
      <c r="J35" s="42"/>
      <c r="K35" s="46"/>
    </row>
    <row r="36" spans="2:11">
      <c r="B36" t="s">
        <v>16</v>
      </c>
      <c r="C36">
        <v>5038293501</v>
      </c>
      <c r="D36">
        <v>1910401</v>
      </c>
      <c r="E36">
        <v>937026</v>
      </c>
      <c r="F36" s="89">
        <f>C36/E36</f>
        <v>5376.8982941775357</v>
      </c>
      <c r="G36" s="3">
        <f>D36/E36</f>
        <v>2.0387918798411144</v>
      </c>
      <c r="H36" s="12">
        <f>C36/(D36*8760)</f>
        <v>0.30106122218921938</v>
      </c>
      <c r="J36" s="42"/>
      <c r="K36" s="46"/>
    </row>
    <row r="37" spans="2:11">
      <c r="B37" t="s">
        <v>18</v>
      </c>
      <c r="C37">
        <v>186995311</v>
      </c>
      <c r="D37">
        <v>72254</v>
      </c>
      <c r="E37">
        <v>22897</v>
      </c>
      <c r="F37" s="89">
        <f>C37/E37</f>
        <v>8166.8039917893175</v>
      </c>
      <c r="G37" s="3">
        <f>D37/E37</f>
        <v>3.1556099052277591</v>
      </c>
      <c r="H37" s="12">
        <f>C37/(D37*8760)</f>
        <v>0.29543688500979487</v>
      </c>
      <c r="J37" s="42"/>
      <c r="K37" s="46"/>
    </row>
    <row r="38" spans="2:11">
      <c r="B38" s="1" t="s">
        <v>0</v>
      </c>
      <c r="C38" s="1">
        <f>SUM(C36:C37)</f>
        <v>5225288812</v>
      </c>
      <c r="D38" s="1">
        <f>SUM(D36:D37)</f>
        <v>1982655</v>
      </c>
      <c r="E38" s="1">
        <f>SUM(E36:E37)</f>
        <v>959923</v>
      </c>
      <c r="F38" s="373">
        <f>C38/E38</f>
        <v>5443.4457888809829</v>
      </c>
      <c r="G38" s="3">
        <f>D38/E38</f>
        <v>2.0654312898013694</v>
      </c>
      <c r="H38" s="12">
        <f>C38/(D38*8760)</f>
        <v>0.30085625417483353</v>
      </c>
      <c r="J38" s="42">
        <v>138307</v>
      </c>
      <c r="K38" s="46">
        <v>2.6</v>
      </c>
    </row>
    <row r="39" spans="2:11">
      <c r="B39" s="1"/>
      <c r="C39" s="1"/>
      <c r="D39" s="1"/>
      <c r="E39" s="1"/>
      <c r="F39" s="374"/>
      <c r="G39" s="3"/>
      <c r="H39" s="12"/>
      <c r="J39" s="42"/>
      <c r="K39" s="46"/>
    </row>
    <row r="40" spans="2:11" ht="31.5">
      <c r="B40" s="90" t="s">
        <v>114</v>
      </c>
      <c r="C40" s="5" t="s">
        <v>17</v>
      </c>
      <c r="D40" s="5" t="s">
        <v>37</v>
      </c>
      <c r="E40" s="5" t="s">
        <v>4</v>
      </c>
      <c r="F40" s="5" t="s">
        <v>47</v>
      </c>
      <c r="G40" s="5" t="s">
        <v>48</v>
      </c>
      <c r="H40" s="5" t="s">
        <v>49</v>
      </c>
      <c r="J40" s="42"/>
      <c r="K40" s="46"/>
    </row>
    <row r="41" spans="2:11">
      <c r="B41" t="s">
        <v>16</v>
      </c>
      <c r="C41">
        <v>4930045113</v>
      </c>
      <c r="D41">
        <v>2180790</v>
      </c>
      <c r="E41">
        <v>920862</v>
      </c>
      <c r="F41" s="89">
        <f>C41/E41</f>
        <v>5353.7284772311159</v>
      </c>
      <c r="G41" s="3">
        <f>D41/E41</f>
        <v>2.3682050079164956</v>
      </c>
      <c r="H41" s="12">
        <f>C41/(D41*8760)</f>
        <v>0.25806727746078195</v>
      </c>
      <c r="J41" s="42"/>
      <c r="K41" s="46"/>
    </row>
    <row r="42" spans="2:11">
      <c r="B42" t="s">
        <v>18</v>
      </c>
      <c r="C42">
        <v>151774109</v>
      </c>
      <c r="D42">
        <v>70448</v>
      </c>
      <c r="E42">
        <v>21869</v>
      </c>
      <c r="F42" s="89">
        <f>C42/E42</f>
        <v>6940.148566463944</v>
      </c>
      <c r="G42" s="3">
        <f>D42/E42</f>
        <v>3.2213635740088709</v>
      </c>
      <c r="H42" s="12">
        <f>C42/(D42*8760)</f>
        <v>0.24593759268794524</v>
      </c>
      <c r="J42" s="42"/>
      <c r="K42" s="46"/>
    </row>
    <row r="43" spans="2:11">
      <c r="B43" s="1" t="s">
        <v>0</v>
      </c>
      <c r="C43" s="1">
        <f>SUM(C41:C42)</f>
        <v>5081819222</v>
      </c>
      <c r="D43" s="1">
        <f>SUM(D41:D42)</f>
        <v>2251238</v>
      </c>
      <c r="E43" s="1">
        <f>SUM(E41:E42)</f>
        <v>942731</v>
      </c>
      <c r="F43" s="373">
        <f>C43/E43</f>
        <v>5390.5294532586704</v>
      </c>
      <c r="G43" s="3">
        <f>D43/E43</f>
        <v>2.3879961516063437</v>
      </c>
      <c r="H43" s="12">
        <f>C43/(D43*8760)</f>
        <v>0.2576877031852603</v>
      </c>
      <c r="J43" s="42">
        <v>161205</v>
      </c>
      <c r="K43" s="46">
        <v>2.7</v>
      </c>
    </row>
    <row r="44" spans="2:11">
      <c r="B44" s="1"/>
      <c r="C44" s="1"/>
      <c r="D44" s="1"/>
      <c r="E44" s="1"/>
      <c r="F44" s="374"/>
      <c r="G44" s="3"/>
      <c r="H44" s="12"/>
      <c r="J44" s="42"/>
      <c r="K44" s="46"/>
    </row>
    <row r="45" spans="2:11" ht="31.5">
      <c r="B45" s="90" t="s">
        <v>116</v>
      </c>
      <c r="C45" s="5" t="s">
        <v>17</v>
      </c>
      <c r="D45" s="5" t="s">
        <v>37</v>
      </c>
      <c r="E45" s="5" t="s">
        <v>4</v>
      </c>
      <c r="F45" s="5" t="s">
        <v>47</v>
      </c>
      <c r="G45" s="5" t="s">
        <v>48</v>
      </c>
      <c r="H45" s="5" t="s">
        <v>49</v>
      </c>
      <c r="J45" s="42"/>
      <c r="K45" s="46"/>
    </row>
    <row r="46" spans="2:11">
      <c r="B46" t="s">
        <v>16</v>
      </c>
      <c r="C46">
        <v>5040980245</v>
      </c>
      <c r="D46">
        <v>1970869</v>
      </c>
      <c r="E46">
        <v>927656</v>
      </c>
      <c r="F46" s="89">
        <f>C46/E46</f>
        <v>5434.1051478134132</v>
      </c>
      <c r="G46" s="3">
        <f>D46/E46</f>
        <v>2.124568805677967</v>
      </c>
      <c r="H46" s="12">
        <f>C46/(D46*8760)</f>
        <v>0.29198001788428346</v>
      </c>
      <c r="J46" s="42"/>
      <c r="K46" s="46"/>
    </row>
    <row r="47" spans="2:11" ht="15.75" thickBot="1">
      <c r="B47" t="s">
        <v>18</v>
      </c>
      <c r="C47">
        <v>159278898</v>
      </c>
      <c r="D47">
        <v>63877</v>
      </c>
      <c r="E47">
        <v>21594</v>
      </c>
      <c r="F47" s="89">
        <f>C47/E47</f>
        <v>7376.0719644345654</v>
      </c>
      <c r="G47" s="3">
        <f>D47/E47</f>
        <v>2.958090210243586</v>
      </c>
      <c r="H47" s="12">
        <f>C47/(D47*8760)</f>
        <v>0.28464897541743861</v>
      </c>
      <c r="J47" s="42"/>
      <c r="K47" s="46"/>
    </row>
    <row r="48" spans="2:11" ht="15.75" thickBot="1">
      <c r="B48" s="1" t="s">
        <v>0</v>
      </c>
      <c r="C48" s="1">
        <f>SUM(C46:C47)</f>
        <v>5200259143</v>
      </c>
      <c r="D48" s="1">
        <f>SUM(D46:D47)</f>
        <v>2034746</v>
      </c>
      <c r="E48" s="1">
        <f>SUM(E46:E47)</f>
        <v>949250</v>
      </c>
      <c r="F48" s="440">
        <f>C48/E48</f>
        <v>5478.281952067422</v>
      </c>
      <c r="G48" s="3">
        <f>D48/E48</f>
        <v>2.143530155385831</v>
      </c>
      <c r="H48" s="12">
        <f>C48/(D48*8760)</f>
        <v>0.29174987367972199</v>
      </c>
      <c r="J48" s="42">
        <v>181125</v>
      </c>
      <c r="K48" s="46">
        <v>2.9</v>
      </c>
    </row>
    <row r="49" spans="2:12" ht="15.75" thickBot="1">
      <c r="B49" s="1"/>
      <c r="C49" s="1"/>
      <c r="D49" s="1"/>
      <c r="E49" s="1"/>
      <c r="F49" s="374"/>
      <c r="G49" s="3"/>
      <c r="H49" s="12"/>
      <c r="J49" s="380"/>
      <c r="K49" s="386"/>
    </row>
    <row r="50" spans="2:12" ht="31.5">
      <c r="B50" s="90" t="s">
        <v>45</v>
      </c>
      <c r="C50" s="88" t="s">
        <v>17</v>
      </c>
      <c r="D50" s="88" t="s">
        <v>115</v>
      </c>
      <c r="E50" s="88" t="s">
        <v>4</v>
      </c>
      <c r="F50" s="88" t="s">
        <v>47</v>
      </c>
      <c r="G50" s="88" t="s">
        <v>48</v>
      </c>
      <c r="H50" s="88" t="s">
        <v>49</v>
      </c>
    </row>
    <row r="51" spans="2:12">
      <c r="B51" t="s">
        <v>16</v>
      </c>
      <c r="C51">
        <v>4174639051</v>
      </c>
      <c r="D51">
        <v>1535216</v>
      </c>
      <c r="E51">
        <v>821915</v>
      </c>
      <c r="F51" s="89">
        <f>C51/E51</f>
        <v>5079.1615325185694</v>
      </c>
      <c r="G51" s="3">
        <f>D51/E51</f>
        <v>1.8678525151627601</v>
      </c>
      <c r="H51" s="12">
        <f>C51/(D51*8760)</f>
        <v>0.31041688550160851</v>
      </c>
      <c r="J51" s="1" t="s">
        <v>156</v>
      </c>
      <c r="K51" s="1"/>
      <c r="L51" s="1"/>
    </row>
    <row r="52" spans="2:12">
      <c r="B52" t="s">
        <v>18</v>
      </c>
      <c r="C52">
        <v>89022785</v>
      </c>
      <c r="D52">
        <v>29160</v>
      </c>
      <c r="E52">
        <v>10369</v>
      </c>
      <c r="F52" s="89">
        <f>C52/E52</f>
        <v>8585.4744912720616</v>
      </c>
      <c r="G52" s="3">
        <f>D52/E52</f>
        <v>2.8122287588002699</v>
      </c>
      <c r="H52" s="12">
        <f>C52/(D52*8760)</f>
        <v>0.34850543137844425</v>
      </c>
      <c r="J52" s="1" t="s">
        <v>158</v>
      </c>
      <c r="K52" s="1">
        <v>3.3</v>
      </c>
      <c r="L52" s="1" t="s">
        <v>157</v>
      </c>
    </row>
    <row r="53" spans="2:12">
      <c r="B53" t="s">
        <v>19</v>
      </c>
      <c r="C53">
        <v>858017650</v>
      </c>
      <c r="D53">
        <v>320913</v>
      </c>
      <c r="E53">
        <v>171809</v>
      </c>
      <c r="F53" s="89">
        <f>C53/E53</f>
        <v>4994.0203947406717</v>
      </c>
      <c r="G53" s="3">
        <f>D53/E53</f>
        <v>1.8678474352333114</v>
      </c>
      <c r="H53" s="12">
        <f>C53/(D53*8760)</f>
        <v>0.30521424909441097</v>
      </c>
      <c r="J53" s="1" t="s">
        <v>159</v>
      </c>
      <c r="K53" s="1"/>
      <c r="L53" s="1"/>
    </row>
    <row r="54" spans="2:12" ht="15.75" thickBot="1">
      <c r="B54" t="s">
        <v>20</v>
      </c>
      <c r="C54">
        <v>61727979</v>
      </c>
      <c r="D54">
        <v>27162</v>
      </c>
      <c r="E54">
        <v>9658</v>
      </c>
      <c r="F54" s="89">
        <f>C54/E54</f>
        <v>6391.3832056326364</v>
      </c>
      <c r="G54" s="3">
        <f>D54/E54</f>
        <v>2.8123835162559536</v>
      </c>
      <c r="H54" s="12">
        <f>C54/(D54*8760)</f>
        <v>0.25942761745105219</v>
      </c>
      <c r="L54" s="1"/>
    </row>
    <row r="55" spans="2:12" ht="15.75" thickBot="1">
      <c r="B55" s="1" t="s">
        <v>0</v>
      </c>
      <c r="C55" s="1">
        <f>SUM(C51:C54)</f>
        <v>5183407465</v>
      </c>
      <c r="D55" s="1">
        <f>SUM(D51:D54)</f>
        <v>1912451</v>
      </c>
      <c r="E55" s="441">
        <f>SUM(E51:E54)</f>
        <v>1013751</v>
      </c>
      <c r="F55" s="373">
        <f>C55/E55</f>
        <v>5113.0972645156453</v>
      </c>
      <c r="G55" s="3">
        <f>D55/E55</f>
        <v>1.8865096064023612</v>
      </c>
    </row>
    <row r="57" spans="2:12" ht="15.75" thickBot="1"/>
    <row r="58" spans="2:12" ht="75">
      <c r="B58" s="445" t="s">
        <v>153</v>
      </c>
      <c r="C58" s="446"/>
      <c r="D58" s="446"/>
      <c r="E58" s="427" t="s">
        <v>4</v>
      </c>
      <c r="F58" s="175" t="s">
        <v>160</v>
      </c>
      <c r="G58" s="427" t="s">
        <v>161</v>
      </c>
      <c r="H58" s="175" t="s">
        <v>154</v>
      </c>
      <c r="I58" s="175" t="s">
        <v>149</v>
      </c>
      <c r="J58" s="376" t="s">
        <v>155</v>
      </c>
    </row>
    <row r="59" spans="2:12">
      <c r="B59" s="44" t="s">
        <v>110</v>
      </c>
      <c r="C59" s="211"/>
      <c r="D59" s="211"/>
      <c r="E59" s="211">
        <f>E55</f>
        <v>1013751</v>
      </c>
      <c r="F59" s="428">
        <v>6041</v>
      </c>
      <c r="G59" s="45">
        <f>E59*F59</f>
        <v>6124069791</v>
      </c>
      <c r="H59" s="45"/>
      <c r="I59" s="45"/>
      <c r="J59" s="47"/>
    </row>
    <row r="60" spans="2:12">
      <c r="B60" s="44" t="s">
        <v>147</v>
      </c>
      <c r="C60" s="211"/>
      <c r="D60" s="211"/>
      <c r="E60" s="211">
        <f>E55</f>
        <v>1013751</v>
      </c>
      <c r="F60" s="429">
        <v>5478</v>
      </c>
      <c r="G60" s="45">
        <f>E60*F60</f>
        <v>5553327978</v>
      </c>
      <c r="H60" s="45"/>
      <c r="I60" s="45"/>
      <c r="J60" s="47"/>
    </row>
    <row r="61" spans="2:12" ht="15.75" thickBot="1">
      <c r="B61" s="42" t="s">
        <v>50</v>
      </c>
      <c r="C61" s="211"/>
      <c r="D61" s="211"/>
      <c r="E61" s="211">
        <f>E53+E54</f>
        <v>181467</v>
      </c>
      <c r="F61" s="45"/>
      <c r="G61" s="91">
        <f>G59-G60</f>
        <v>570741813</v>
      </c>
      <c r="H61" s="378">
        <f>G61/E61</f>
        <v>3145.1548380697318</v>
      </c>
      <c r="I61" s="426">
        <v>0.11</v>
      </c>
      <c r="J61" s="438">
        <f>H61/8760/I61</f>
        <v>3.2639630947174472</v>
      </c>
    </row>
    <row r="62" spans="2:12">
      <c r="B62" s="411" t="s">
        <v>148</v>
      </c>
      <c r="C62" s="45"/>
      <c r="D62" s="45"/>
      <c r="E62" s="45"/>
      <c r="F62" s="45"/>
      <c r="G62" s="45"/>
      <c r="H62" s="430" t="s">
        <v>207</v>
      </c>
      <c r="I62" s="45"/>
      <c r="J62" s="47"/>
    </row>
    <row r="63" spans="2:12">
      <c r="B63" s="44"/>
      <c r="C63" s="45"/>
      <c r="D63" s="45"/>
      <c r="E63" s="45"/>
      <c r="F63" s="45"/>
      <c r="G63" s="45"/>
      <c r="H63" s="430" t="s">
        <v>208</v>
      </c>
      <c r="I63" s="45"/>
      <c r="J63" s="47"/>
    </row>
    <row r="64" spans="2:12">
      <c r="B64" s="44"/>
      <c r="C64" s="45"/>
      <c r="D64" s="45"/>
      <c r="E64" s="45"/>
      <c r="F64" s="45"/>
      <c r="G64" s="45"/>
      <c r="H64" s="45"/>
      <c r="I64" s="45"/>
      <c r="J64" s="47"/>
    </row>
    <row r="65" spans="2:10" ht="15.75">
      <c r="B65" s="431"/>
      <c r="C65" s="65"/>
      <c r="D65" s="65"/>
      <c r="E65" s="65"/>
      <c r="F65" s="432" t="s">
        <v>120</v>
      </c>
      <c r="G65" s="432" t="s">
        <v>17</v>
      </c>
      <c r="H65" s="433" t="s">
        <v>121</v>
      </c>
      <c r="I65" s="65"/>
      <c r="J65" s="47"/>
    </row>
    <row r="66" spans="2:10" ht="15.75">
      <c r="B66" s="434" t="s">
        <v>119</v>
      </c>
      <c r="C66" s="65"/>
      <c r="D66" s="65"/>
      <c r="E66" s="65"/>
      <c r="F66" s="433">
        <v>8.7439999999999998</v>
      </c>
      <c r="G66" s="435">
        <f>G61</f>
        <v>570741813</v>
      </c>
      <c r="H66" s="388">
        <f>F66/100*G66/1000000</f>
        <v>49.905664128719998</v>
      </c>
      <c r="I66" s="65"/>
      <c r="J66" s="47"/>
    </row>
    <row r="67" spans="2:10" ht="15.75" thickBot="1">
      <c r="B67" s="436"/>
      <c r="C67" s="437"/>
      <c r="D67" s="437"/>
      <c r="E67" s="437"/>
      <c r="F67" s="437"/>
      <c r="G67" s="437"/>
      <c r="H67" s="437"/>
      <c r="I67" s="437"/>
      <c r="J67" s="404"/>
    </row>
  </sheetData>
  <mergeCells count="1">
    <mergeCell ref="B58:D5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$ per kVA Vs Cents per kWh </vt:lpstr>
      <vt:lpstr>New $ per kVA</vt:lpstr>
      <vt:lpstr>Cable &amp; Line Cust &amp; kVA Cost </vt:lpstr>
      <vt:lpstr>Solar Impact  Network Rev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2017-12-11T06:04:52Z</dcterms:modified>
</cp:coreProperties>
</file>