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oroney\Desktop\GGP Initial Proposal for Publication\Second Table - GGP AA4 Proposed Access Arrangement Supporting Information\"/>
    </mc:Choice>
  </mc:AlternateContent>
  <bookViews>
    <workbookView xWindow="0" yWindow="0" windowWidth="28800" windowHeight="13875"/>
  </bookViews>
  <sheets>
    <sheet name="Key" sheetId="11" r:id="rId1"/>
    <sheet name="Input│ Historic Opex" sheetId="1" r:id="rId2"/>
    <sheet name="Input│ Other" sheetId="2" r:id="rId3"/>
    <sheet name="Input│ Forecast" sheetId="10" r:id="rId4"/>
    <sheet name="Calc│Forecast" sheetId="4" r:id="rId5"/>
    <sheet name="Outputs│Tables" sheetId="7" r:id="rId6"/>
  </sheets>
  <externalReferences>
    <externalReference r:id="rId7"/>
  </externalReferences>
  <definedNames>
    <definedName name="CRCP_y1">'[1]Business &amp; other details'!$C$39</definedName>
    <definedName name="CRCP_y2">'[1]Business &amp; other details'!$D$39</definedName>
    <definedName name="CRCP_y3">'[1]Business &amp; other details'!$E$39</definedName>
    <definedName name="CRCP_y4">'[1]Business &amp; other details'!$F$39</definedName>
    <definedName name="CRCP_y5">'[1]Business &amp; other details'!$G$39</definedName>
    <definedName name="dms_DollarReal">'[1]Business &amp; other details'!$C$74</definedName>
    <definedName name="dms_EBSS_status">'[1]Business &amp; other details'!$C$62</definedName>
    <definedName name="dms_PRCP_BaseYear">'[1]7.5 EBSS'!$C$24</definedName>
    <definedName name="dms_RPT">'[1]Business &amp; other details'!$C$66</definedName>
    <definedName name="dms_RPTMonth">'[1]Business &amp; other details'!$C$73</definedName>
    <definedName name="dms_TradingName">'[1]Business &amp; other details'!$C$14</definedName>
    <definedName name="FRCP_y1">'[1]Business &amp; other details'!$C$35</definedName>
    <definedName name="FRCP_y2">'[1]Business &amp; other details'!$D$35</definedName>
    <definedName name="FRCP_y3">'[1]Business &amp; other details'!$E$35</definedName>
    <definedName name="FRCP_y4">'[1]Business &amp; other details'!$F$35</definedName>
    <definedName name="FRCP_y5">'[1]Business &amp; other details'!$G$35</definedName>
    <definedName name="PRCP_y1">'[1]Business &amp; other details'!$C$44</definedName>
    <definedName name="PRCP_y2">'[1]Business &amp; other details'!$D$44</definedName>
    <definedName name="PRCP_y3">'[1]Business &amp; other details'!$E$44</definedName>
    <definedName name="PRCP_y4">'[1]Business &amp; other details'!$F$44</definedName>
    <definedName name="PRCP_y5">'[1]Business &amp; other details'!$G$44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7" l="1"/>
  <c r="E72" i="7"/>
  <c r="F72" i="7"/>
  <c r="G72" i="7"/>
  <c r="D73" i="7"/>
  <c r="E73" i="7"/>
  <c r="F73" i="7"/>
  <c r="G73" i="7"/>
  <c r="D74" i="7"/>
  <c r="E74" i="7"/>
  <c r="F74" i="7"/>
  <c r="G74" i="7"/>
  <c r="D75" i="7"/>
  <c r="E75" i="7"/>
  <c r="F75" i="7"/>
  <c r="G75" i="7"/>
  <c r="D76" i="7"/>
  <c r="E76" i="7"/>
  <c r="F76" i="7"/>
  <c r="G76" i="7"/>
  <c r="C73" i="7"/>
  <c r="C74" i="7"/>
  <c r="C75" i="7"/>
  <c r="C76" i="7"/>
  <c r="C72" i="7"/>
  <c r="D84" i="7" l="1"/>
  <c r="D89" i="7" s="1"/>
  <c r="E84" i="7"/>
  <c r="E89" i="7" s="1"/>
  <c r="F84" i="7"/>
  <c r="G84" i="7"/>
  <c r="D85" i="7"/>
  <c r="E85" i="7"/>
  <c r="F85" i="7"/>
  <c r="G85" i="7"/>
  <c r="D86" i="7"/>
  <c r="E86" i="7"/>
  <c r="F86" i="7"/>
  <c r="G86" i="7"/>
  <c r="D87" i="7"/>
  <c r="E87" i="7"/>
  <c r="F87" i="7"/>
  <c r="G87" i="7"/>
  <c r="D88" i="7"/>
  <c r="E88" i="7"/>
  <c r="F88" i="7"/>
  <c r="G88" i="7"/>
  <c r="C85" i="7"/>
  <c r="C86" i="7"/>
  <c r="C87" i="7"/>
  <c r="C88" i="7"/>
  <c r="C84" i="7"/>
  <c r="B89" i="7"/>
  <c r="B85" i="7"/>
  <c r="B86" i="7"/>
  <c r="B87" i="7"/>
  <c r="B88" i="7"/>
  <c r="B84" i="7"/>
  <c r="D82" i="7"/>
  <c r="E82" i="7"/>
  <c r="F82" i="7"/>
  <c r="G82" i="7"/>
  <c r="C82" i="7"/>
  <c r="F89" i="7"/>
  <c r="G89" i="7"/>
  <c r="C89" i="7" l="1"/>
  <c r="C31" i="1"/>
  <c r="E20" i="7"/>
  <c r="E21" i="7"/>
  <c r="E22" i="7"/>
  <c r="E23" i="7"/>
  <c r="E19" i="7"/>
  <c r="F22" i="7"/>
  <c r="G22" i="7"/>
  <c r="F23" i="7"/>
  <c r="G23" i="7"/>
  <c r="G37" i="7"/>
  <c r="G38" i="7"/>
  <c r="F37" i="7"/>
  <c r="F38" i="7"/>
  <c r="D34" i="7"/>
  <c r="E34" i="7"/>
  <c r="D35" i="7"/>
  <c r="E35" i="7"/>
  <c r="D36" i="7"/>
  <c r="E36" i="7"/>
  <c r="D37" i="7"/>
  <c r="E37" i="7"/>
  <c r="D38" i="7"/>
  <c r="E38" i="7"/>
  <c r="C35" i="7"/>
  <c r="C36" i="7"/>
  <c r="C37" i="7"/>
  <c r="B35" i="7"/>
  <c r="B36" i="7"/>
  <c r="B37" i="7"/>
  <c r="B38" i="7"/>
  <c r="B39" i="7"/>
  <c r="B34" i="7"/>
  <c r="B77" i="7"/>
  <c r="B73" i="7"/>
  <c r="B74" i="7"/>
  <c r="B75" i="7"/>
  <c r="B76" i="7"/>
  <c r="B72" i="7"/>
  <c r="D17" i="7"/>
  <c r="D32" i="7" s="1"/>
  <c r="E17" i="7"/>
  <c r="E32" i="7" s="1"/>
  <c r="F17" i="7"/>
  <c r="F32" i="7" s="1"/>
  <c r="C17" i="7"/>
  <c r="C32" i="7" s="1"/>
  <c r="D63" i="10"/>
  <c r="D61" i="10"/>
  <c r="C62" i="10"/>
  <c r="C63" i="10"/>
  <c r="C64" i="10"/>
  <c r="C65" i="10"/>
  <c r="C66" i="10"/>
  <c r="C61" i="10"/>
  <c r="B66" i="10"/>
  <c r="B62" i="10"/>
  <c r="B74" i="10" s="1"/>
  <c r="B63" i="10"/>
  <c r="B75" i="10" s="1"/>
  <c r="B64" i="10"/>
  <c r="B76" i="10" s="1"/>
  <c r="B65" i="10"/>
  <c r="B77" i="10" s="1"/>
  <c r="B61" i="10"/>
  <c r="B73" i="10" s="1"/>
  <c r="D28" i="4"/>
  <c r="E21" i="1"/>
  <c r="F21" i="1"/>
  <c r="G21" i="1"/>
  <c r="D26" i="7" s="1"/>
  <c r="H21" i="1"/>
  <c r="D68" i="10" s="1"/>
  <c r="D21" i="1"/>
  <c r="C34" i="7"/>
  <c r="D39" i="7" l="1"/>
  <c r="E26" i="7"/>
  <c r="E39" i="7"/>
  <c r="D66" i="10"/>
  <c r="D73" i="10" s="1"/>
  <c r="E39" i="10"/>
  <c r="F39" i="10"/>
  <c r="G39" i="10"/>
  <c r="H39" i="10"/>
  <c r="I39" i="10"/>
  <c r="J39" i="10"/>
  <c r="D39" i="10"/>
  <c r="D75" i="10" l="1"/>
  <c r="D78" i="10" s="1"/>
  <c r="B78" i="10"/>
  <c r="B22" i="7" l="1"/>
  <c r="D70" i="7"/>
  <c r="E70" i="7"/>
  <c r="F70" i="7"/>
  <c r="G70" i="7"/>
  <c r="C70" i="7"/>
  <c r="D59" i="7"/>
  <c r="E59" i="7"/>
  <c r="F59" i="7"/>
  <c r="G59" i="7"/>
  <c r="C59" i="7"/>
  <c r="B60" i="7" l="1"/>
  <c r="B61" i="7"/>
  <c r="B62" i="7"/>
  <c r="B63" i="7"/>
  <c r="B64" i="7"/>
  <c r="B65" i="7"/>
  <c r="B59" i="7"/>
  <c r="F47" i="7" l="1"/>
  <c r="G48" i="7"/>
  <c r="F46" i="7"/>
  <c r="C50" i="7" l="1"/>
  <c r="C51" i="7"/>
  <c r="E48" i="7"/>
  <c r="E47" i="7"/>
  <c r="E46" i="7"/>
  <c r="B48" i="7"/>
  <c r="C46" i="7"/>
  <c r="F49" i="7"/>
  <c r="D48" i="7"/>
  <c r="D47" i="7"/>
  <c r="B47" i="7"/>
  <c r="C48" i="7"/>
  <c r="D49" i="7"/>
  <c r="G47" i="7"/>
  <c r="G46" i="7"/>
  <c r="B46" i="7"/>
  <c r="C47" i="7"/>
  <c r="F48" i="7"/>
  <c r="B49" i="7"/>
  <c r="E49" i="7"/>
  <c r="G49" i="7"/>
  <c r="C49" i="7"/>
  <c r="E51" i="7" l="1"/>
  <c r="F50" i="7"/>
  <c r="E50" i="7"/>
  <c r="D50" i="7"/>
  <c r="G51" i="7"/>
  <c r="D51" i="7"/>
  <c r="F51" i="7"/>
  <c r="G50" i="7"/>
  <c r="C52" i="7"/>
  <c r="I29" i="10"/>
  <c r="H29" i="10"/>
  <c r="D46" i="7"/>
  <c r="G29" i="10"/>
  <c r="F29" i="10"/>
  <c r="D29" i="10" s="1"/>
  <c r="E29" i="10" s="1"/>
  <c r="J29" i="10"/>
  <c r="E52" i="7" l="1"/>
  <c r="F52" i="7"/>
  <c r="D52" i="7"/>
  <c r="G52" i="7"/>
  <c r="B43" i="4" l="1"/>
  <c r="H39" i="1" l="1"/>
  <c r="H37" i="1" l="1"/>
  <c r="D38" i="4" l="1"/>
  <c r="D69" i="4" s="1"/>
  <c r="G37" i="4" l="1"/>
  <c r="H37" i="4"/>
  <c r="I37" i="4"/>
  <c r="J37" i="4"/>
  <c r="K37" i="4"/>
  <c r="G38" i="4"/>
  <c r="G69" i="4" s="1"/>
  <c r="H38" i="4"/>
  <c r="H69" i="4" s="1"/>
  <c r="I38" i="4"/>
  <c r="I69" i="4" s="1"/>
  <c r="K38" i="4"/>
  <c r="K69" i="4" s="1"/>
  <c r="J38" i="4"/>
  <c r="J69" i="4" s="1"/>
  <c r="F39" i="4"/>
  <c r="F70" i="4" s="1"/>
  <c r="G39" i="4"/>
  <c r="G70" i="4" s="1"/>
  <c r="H39" i="4"/>
  <c r="H70" i="4" s="1"/>
  <c r="I39" i="4"/>
  <c r="I70" i="4" s="1"/>
  <c r="J39" i="4"/>
  <c r="J70" i="4" s="1"/>
  <c r="K39" i="4"/>
  <c r="K70" i="4" s="1"/>
  <c r="E39" i="4"/>
  <c r="E70" i="4" s="1"/>
  <c r="J67" i="4" l="1"/>
  <c r="H67" i="4"/>
  <c r="K67" i="4"/>
  <c r="I67" i="4"/>
  <c r="G67" i="4"/>
  <c r="B38" i="4"/>
  <c r="B69" i="4" s="1"/>
  <c r="B37" i="4"/>
  <c r="C39" i="10"/>
  <c r="C34" i="10" s="1"/>
  <c r="E16" i="10" l="1"/>
  <c r="F16" i="10" s="1"/>
  <c r="G16" i="10" s="1"/>
  <c r="H16" i="10" s="1"/>
  <c r="I16" i="10" s="1"/>
  <c r="J16" i="10" s="1"/>
  <c r="G40" i="4" l="1"/>
  <c r="H40" i="4"/>
  <c r="I40" i="4"/>
  <c r="J40" i="4"/>
  <c r="K40" i="4"/>
  <c r="H53" i="10" l="1"/>
  <c r="G62" i="7" s="1"/>
  <c r="E53" i="10"/>
  <c r="D62" i="7" s="1"/>
  <c r="F53" i="10"/>
  <c r="E62" i="7" s="1"/>
  <c r="G53" i="10"/>
  <c r="F62" i="7" s="1"/>
  <c r="D53" i="10"/>
  <c r="C62" i="7" s="1"/>
  <c r="E52" i="10" l="1"/>
  <c r="D61" i="7" s="1"/>
  <c r="D60" i="7"/>
  <c r="G52" i="10"/>
  <c r="F60" i="7"/>
  <c r="D52" i="10"/>
  <c r="C61" i="7" s="1"/>
  <c r="C60" i="7"/>
  <c r="H52" i="10"/>
  <c r="G61" i="7" s="1"/>
  <c r="G60" i="7"/>
  <c r="F52" i="10"/>
  <c r="E61" i="7" s="1"/>
  <c r="E60" i="7"/>
  <c r="E54" i="10" l="1"/>
  <c r="E55" i="10" s="1"/>
  <c r="D64" i="7" s="1"/>
  <c r="H54" i="10"/>
  <c r="H55" i="10" s="1"/>
  <c r="F54" i="10"/>
  <c r="E63" i="7" s="1"/>
  <c r="D54" i="10"/>
  <c r="D55" i="10" s="1"/>
  <c r="G54" i="10"/>
  <c r="F61" i="7"/>
  <c r="H21" i="2"/>
  <c r="I21" i="2" s="1"/>
  <c r="J21" i="2" s="1"/>
  <c r="K21" i="2" s="1"/>
  <c r="D63" i="7" l="1"/>
  <c r="G63" i="7"/>
  <c r="F55" i="10"/>
  <c r="E64" i="7" s="1"/>
  <c r="C63" i="7"/>
  <c r="D56" i="10"/>
  <c r="C64" i="7"/>
  <c r="G55" i="10"/>
  <c r="F64" i="7" s="1"/>
  <c r="F63" i="7"/>
  <c r="I55" i="10"/>
  <c r="J55" i="10" s="1"/>
  <c r="G64" i="7"/>
  <c r="D15" i="4"/>
  <c r="D65" i="4" s="1"/>
  <c r="D15" i="10"/>
  <c r="E15" i="4" s="1"/>
  <c r="E65" i="4" s="1"/>
  <c r="B71" i="4"/>
  <c r="B68" i="4"/>
  <c r="B66" i="4"/>
  <c r="C65" i="7" l="1"/>
  <c r="E56" i="10"/>
  <c r="D27" i="4"/>
  <c r="E15" i="10"/>
  <c r="G17" i="7" s="1"/>
  <c r="G32" i="7" s="1"/>
  <c r="F56" i="10" l="1"/>
  <c r="D65" i="7"/>
  <c r="D37" i="4"/>
  <c r="D67" i="4" s="1"/>
  <c r="F15" i="4"/>
  <c r="F65" i="4" s="1"/>
  <c r="F15" i="10"/>
  <c r="G56" i="10" l="1"/>
  <c r="E65" i="7"/>
  <c r="G15" i="4"/>
  <c r="G65" i="4" s="1"/>
  <c r="G15" i="10"/>
  <c r="H56" i="10" l="1"/>
  <c r="F65" i="7"/>
  <c r="H15" i="10"/>
  <c r="H15" i="4"/>
  <c r="H65" i="4" s="1"/>
  <c r="I56" i="10" l="1"/>
  <c r="J56" i="10" s="1"/>
  <c r="G65" i="7"/>
  <c r="I15" i="10"/>
  <c r="I15" i="4"/>
  <c r="I65" i="4" s="1"/>
  <c r="J15" i="10" l="1"/>
  <c r="J15" i="4"/>
  <c r="J65" i="4" s="1"/>
  <c r="K15" i="4" l="1"/>
  <c r="K65" i="4" s="1"/>
  <c r="B29" i="4" l="1"/>
  <c r="B39" i="4" l="1"/>
  <c r="B23" i="7" l="1"/>
  <c r="E54" i="4" l="1"/>
  <c r="B13" i="2"/>
  <c r="B13" i="10"/>
  <c r="J45" i="10"/>
  <c r="D17" i="10"/>
  <c r="I45" i="10"/>
  <c r="H45" i="10"/>
  <c r="G45" i="10"/>
  <c r="F45" i="10"/>
  <c r="E45" i="10"/>
  <c r="D45" i="10"/>
  <c r="E17" i="10" l="1"/>
  <c r="F17" i="10" s="1"/>
  <c r="G17" i="10" s="1"/>
  <c r="H17" i="10" s="1"/>
  <c r="I17" i="10" s="1"/>
  <c r="J17" i="10" s="1"/>
  <c r="F54" i="4"/>
  <c r="G54" i="4" l="1"/>
  <c r="H54" i="4" l="1"/>
  <c r="I54" i="4" l="1"/>
  <c r="J54" i="4" l="1"/>
  <c r="K54" i="4" l="1"/>
  <c r="G38" i="1" l="1"/>
  <c r="B13" i="7"/>
  <c r="K47" i="4"/>
  <c r="J47" i="4"/>
  <c r="I47" i="4"/>
  <c r="H47" i="4"/>
  <c r="G47" i="4"/>
  <c r="F47" i="4"/>
  <c r="E47" i="4"/>
  <c r="D47" i="4"/>
  <c r="D21" i="4"/>
  <c r="B13" i="4"/>
  <c r="G22" i="2"/>
  <c r="B20" i="2"/>
  <c r="B19" i="2"/>
  <c r="E16" i="2"/>
  <c r="B13" i="1"/>
  <c r="F38" i="1" l="1"/>
  <c r="H22" i="2"/>
  <c r="I22" i="2" s="1"/>
  <c r="J22" i="2" s="1"/>
  <c r="K22" i="2" s="1"/>
  <c r="F16" i="2"/>
  <c r="D52" i="4"/>
  <c r="E52" i="4" s="1"/>
  <c r="F52" i="4" s="1"/>
  <c r="G52" i="4" s="1"/>
  <c r="H52" i="4" s="1"/>
  <c r="I52" i="4" s="1"/>
  <c r="J52" i="4" s="1"/>
  <c r="K52" i="4" s="1"/>
  <c r="E38" i="1" l="1"/>
  <c r="G16" i="2"/>
  <c r="E20" i="2" l="1"/>
  <c r="D20" i="2"/>
  <c r="H16" i="2"/>
  <c r="I16" i="2" l="1"/>
  <c r="I17" i="2"/>
  <c r="J17" i="2" s="1"/>
  <c r="K17" i="2" s="1"/>
  <c r="L17" i="2" s="1"/>
  <c r="M17" i="2" s="1"/>
  <c r="N17" i="2" s="1"/>
  <c r="O17" i="2" s="1"/>
  <c r="P17" i="2" s="1"/>
  <c r="G20" i="2"/>
  <c r="H20" i="2" l="1"/>
  <c r="J16" i="2"/>
  <c r="K16" i="2" s="1"/>
  <c r="L16" i="2" s="1"/>
  <c r="M16" i="2" s="1"/>
  <c r="N16" i="2" s="1"/>
  <c r="O16" i="2" s="1"/>
  <c r="P16" i="2" s="1"/>
  <c r="H19" i="2" l="1"/>
  <c r="I20" i="2"/>
  <c r="D19" i="2"/>
  <c r="E19" i="2"/>
  <c r="F19" i="2"/>
  <c r="G19" i="2"/>
  <c r="D21" i="7" l="1"/>
  <c r="D19" i="7"/>
  <c r="D22" i="7"/>
  <c r="C19" i="7"/>
  <c r="C22" i="7"/>
  <c r="C21" i="7"/>
  <c r="D20" i="7"/>
  <c r="C20" i="7"/>
  <c r="J20" i="2"/>
  <c r="J19" i="2"/>
  <c r="L20" i="2" l="1"/>
  <c r="L19" i="2"/>
  <c r="K20" i="2"/>
  <c r="K19" i="2"/>
  <c r="M19" i="2" l="1"/>
  <c r="M20" i="2"/>
  <c r="N20" i="2" l="1"/>
  <c r="N19" i="2"/>
  <c r="O19" i="2" l="1"/>
  <c r="O20" i="2"/>
  <c r="P20" i="2" l="1"/>
  <c r="P19" i="2"/>
  <c r="F37" i="4" l="1"/>
  <c r="E37" i="4"/>
  <c r="E67" i="4" s="1"/>
  <c r="F20" i="7" l="1"/>
  <c r="F35" i="7"/>
  <c r="F67" i="4"/>
  <c r="G20" i="7" l="1"/>
  <c r="G35" i="7"/>
  <c r="F38" i="4"/>
  <c r="E38" i="4"/>
  <c r="E69" i="4" s="1"/>
  <c r="E40" i="4" l="1"/>
  <c r="F40" i="4"/>
  <c r="F69" i="4"/>
  <c r="C38" i="7" l="1"/>
  <c r="C39" i="7" s="1"/>
  <c r="C23" i="7" l="1"/>
  <c r="C24" i="7" s="1"/>
  <c r="D29" i="4"/>
  <c r="E24" i="7"/>
  <c r="D17" i="4"/>
  <c r="D23" i="7"/>
  <c r="D24" i="7" s="1"/>
  <c r="D39" i="4" l="1"/>
  <c r="D30" i="4"/>
  <c r="C26" i="7"/>
  <c r="C27" i="7" s="1"/>
  <c r="D69" i="10"/>
  <c r="D24" i="4"/>
  <c r="D33" i="4" l="1"/>
  <c r="D34" i="4" s="1"/>
  <c r="E34" i="4" s="1"/>
  <c r="F34" i="4" s="1"/>
  <c r="G34" i="4" s="1"/>
  <c r="H34" i="4" s="1"/>
  <c r="I34" i="4" s="1"/>
  <c r="J34" i="4" s="1"/>
  <c r="K34" i="4" s="1"/>
  <c r="D40" i="4"/>
  <c r="D70" i="4"/>
  <c r="E27" i="7"/>
  <c r="D27" i="7"/>
  <c r="D43" i="4" l="1"/>
  <c r="D49" i="4" s="1"/>
  <c r="E43" i="4"/>
  <c r="E49" i="4" s="1"/>
  <c r="E53" i="4" l="1"/>
  <c r="E55" i="4" s="1"/>
  <c r="E59" i="4" s="1"/>
  <c r="F43" i="4"/>
  <c r="F49" i="4" s="1"/>
  <c r="D53" i="4"/>
  <c r="D55" i="4" s="1"/>
  <c r="D59" i="4" s="1"/>
  <c r="D58" i="4" l="1"/>
  <c r="D60" i="4"/>
  <c r="E58" i="4"/>
  <c r="E60" i="4" s="1"/>
  <c r="F53" i="4"/>
  <c r="F55" i="4" s="1"/>
  <c r="F59" i="4" s="1"/>
  <c r="G43" i="4"/>
  <c r="G49" i="4" s="1"/>
  <c r="E68" i="4" l="1"/>
  <c r="E66" i="4"/>
  <c r="F19" i="7" s="1"/>
  <c r="D68" i="4"/>
  <c r="D66" i="4"/>
  <c r="F58" i="4"/>
  <c r="F60" i="4" s="1"/>
  <c r="F66" i="4" s="1"/>
  <c r="G19" i="7" s="1"/>
  <c r="H43" i="4"/>
  <c r="H49" i="4" s="1"/>
  <c r="G53" i="4"/>
  <c r="G55" i="4" s="1"/>
  <c r="G59" i="4" s="1"/>
  <c r="F36" i="7" l="1"/>
  <c r="F21" i="7"/>
  <c r="F24" i="7"/>
  <c r="F34" i="7"/>
  <c r="F39" i="7" s="1"/>
  <c r="E71" i="4"/>
  <c r="D71" i="4"/>
  <c r="D73" i="4" s="1"/>
  <c r="F68" i="4"/>
  <c r="H53" i="4"/>
  <c r="H55" i="4" s="1"/>
  <c r="H59" i="4" s="1"/>
  <c r="G58" i="4"/>
  <c r="G60" i="4" s="1"/>
  <c r="I43" i="4"/>
  <c r="I49" i="4" s="1"/>
  <c r="G36" i="7" l="1"/>
  <c r="G21" i="7"/>
  <c r="E73" i="4"/>
  <c r="F26" i="7"/>
  <c r="G24" i="7"/>
  <c r="G34" i="7"/>
  <c r="G39" i="7" s="1"/>
  <c r="F71" i="4"/>
  <c r="G26" i="7" s="1"/>
  <c r="G68" i="4"/>
  <c r="G66" i="4"/>
  <c r="I53" i="4"/>
  <c r="I55" i="4" s="1"/>
  <c r="I59" i="4" s="1"/>
  <c r="H58" i="4"/>
  <c r="H60" i="4" s="1"/>
  <c r="K43" i="4"/>
  <c r="K49" i="4" s="1"/>
  <c r="J43" i="4"/>
  <c r="J49" i="4" s="1"/>
  <c r="G71" i="4" l="1"/>
  <c r="G73" i="4" s="1"/>
  <c r="F73" i="4"/>
  <c r="F27" i="7"/>
  <c r="H66" i="4"/>
  <c r="H68" i="4"/>
  <c r="I58" i="4"/>
  <c r="I60" i="4" s="1"/>
  <c r="G27" i="7"/>
  <c r="J53" i="4"/>
  <c r="J55" i="4" s="1"/>
  <c r="J59" i="4" s="1"/>
  <c r="K53" i="4"/>
  <c r="K55" i="4" s="1"/>
  <c r="K59" i="4" s="1"/>
  <c r="H71" i="4" l="1"/>
  <c r="H73" i="4" s="1"/>
  <c r="I68" i="4"/>
  <c r="I66" i="4"/>
  <c r="K58" i="4"/>
  <c r="K60" i="4" s="1"/>
  <c r="J58" i="4"/>
  <c r="J60" i="4" s="1"/>
  <c r="C77" i="7"/>
  <c r="I71" i="4" l="1"/>
  <c r="K68" i="4"/>
  <c r="K66" i="4"/>
  <c r="J68" i="4"/>
  <c r="J66" i="4"/>
  <c r="I73" i="4"/>
  <c r="D77" i="7"/>
  <c r="K71" i="4" l="1"/>
  <c r="K73" i="4" s="1"/>
  <c r="J71" i="4"/>
  <c r="J73" i="4" s="1"/>
  <c r="E77" i="7"/>
  <c r="F77" i="7" l="1"/>
  <c r="G77" i="7"/>
</calcChain>
</file>

<file path=xl/sharedStrings.xml><?xml version="1.0" encoding="utf-8"?>
<sst xmlns="http://schemas.openxmlformats.org/spreadsheetml/2006/main" count="213" uniqueCount="114">
  <si>
    <t>Unit</t>
  </si>
  <si>
    <t>$ nominal</t>
  </si>
  <si>
    <t>Step changes</t>
  </si>
  <si>
    <t>Total Step Changes</t>
  </si>
  <si>
    <t>Total</t>
  </si>
  <si>
    <t>$m nominal</t>
  </si>
  <si>
    <t>Percent</t>
  </si>
  <si>
    <t>Inflation Value</t>
  </si>
  <si>
    <t>Date</t>
  </si>
  <si>
    <t>ABS CPI All Australian</t>
  </si>
  <si>
    <t>Index</t>
  </si>
  <si>
    <t>Source: ABS</t>
  </si>
  <si>
    <t>Total Operating Expenditure</t>
  </si>
  <si>
    <t>Total one off costs</t>
  </si>
  <si>
    <t>Total items forecast separately</t>
  </si>
  <si>
    <t>Step Changes</t>
  </si>
  <si>
    <t>Total Step changes</t>
  </si>
  <si>
    <t>Total operating expenditure</t>
  </si>
  <si>
    <t>Labour Escalator</t>
  </si>
  <si>
    <t>Forecast CPI</t>
  </si>
  <si>
    <t>CPI</t>
  </si>
  <si>
    <t>Base Year 2017/18</t>
  </si>
  <si>
    <t>Labour cost</t>
  </si>
  <si>
    <t>Escalation</t>
  </si>
  <si>
    <t>Labour Cost Escalators</t>
  </si>
  <si>
    <t>percent</t>
  </si>
  <si>
    <t>Calculation for Tables</t>
  </si>
  <si>
    <t>Check cell</t>
  </si>
  <si>
    <t>ERA's Final Decision</t>
  </si>
  <si>
    <t>Forecast MEJs</t>
  </si>
  <si>
    <t>ERA</t>
  </si>
  <si>
    <t>MEJs</t>
  </si>
  <si>
    <t>Calculation of Forecast Operating Expenditure ($m Real 2018 )</t>
  </si>
  <si>
    <t>Allocation for reporting</t>
  </si>
  <si>
    <t>One off costs</t>
  </si>
  <si>
    <t>Key</t>
  </si>
  <si>
    <t>Input</t>
  </si>
  <si>
    <t>Internal Linked Cell</t>
  </si>
  <si>
    <t>Calculation</t>
  </si>
  <si>
    <t>Output</t>
  </si>
  <si>
    <t>Check Cell</t>
  </si>
  <si>
    <t>Note</t>
  </si>
  <si>
    <t>$ real 2018</t>
  </si>
  <si>
    <t>Labour Escalation Factor</t>
  </si>
  <si>
    <t>Treasury Forecast WPI growth (1/2 year lag)</t>
  </si>
  <si>
    <t>Regulatory</t>
  </si>
  <si>
    <t>Corporate</t>
  </si>
  <si>
    <t>$m real 2018</t>
  </si>
  <si>
    <t>Opex Forecast including Step Changes</t>
  </si>
  <si>
    <t>Major Expenditure Jobs</t>
  </si>
  <si>
    <t>$ million</t>
  </si>
  <si>
    <t>$m</t>
  </si>
  <si>
    <t>Corporate costs</t>
  </si>
  <si>
    <t>Adjusted</t>
  </si>
  <si>
    <t>Difference</t>
  </si>
  <si>
    <t>Historic Operating Expenditure ($real 2018)</t>
  </si>
  <si>
    <t>Check</t>
  </si>
  <si>
    <t>Expenditure in 2017</t>
  </si>
  <si>
    <t xml:space="preserve">Corporate Costs </t>
  </si>
  <si>
    <t>Above ground coating refurbishment program</t>
  </si>
  <si>
    <t>Bolted flange joint integrity program</t>
  </si>
  <si>
    <t>ERA baseline to real $2015</t>
  </si>
  <si>
    <t xml:space="preserve">Easement Maintenance; Line of Sight &amp; Erosion repairs </t>
  </si>
  <si>
    <t>Easement marker sign replacement program</t>
  </si>
  <si>
    <t>Pipeline Integrity Management Plan (PIMP)</t>
  </si>
  <si>
    <t>Safety Management System Review (SMS)</t>
  </si>
  <si>
    <t>MLV and Scraper above ground coating refurbishment program</t>
  </si>
  <si>
    <t>MLV and Scraper bolted flange joint integrity program</t>
  </si>
  <si>
    <t>Compressor above ground coating refurbishment program</t>
  </si>
  <si>
    <t>Compressor bolted flange joint integrity program</t>
  </si>
  <si>
    <t>APA operating costs</t>
  </si>
  <si>
    <t>APA commercial operations</t>
  </si>
  <si>
    <t>GGT operating costs</t>
  </si>
  <si>
    <t>Pipeline operations</t>
  </si>
  <si>
    <t>Commercial operations</t>
  </si>
  <si>
    <r>
      <t>Major</t>
    </r>
    <r>
      <rPr>
        <sz val="8"/>
        <color theme="1"/>
        <rFont val="Century Gothic"/>
        <family val="2"/>
      </rPr>
      <t xml:space="preserve"> expenditure jobs</t>
    </r>
  </si>
  <si>
    <r>
      <t>C</t>
    </r>
    <r>
      <rPr>
        <sz val="8"/>
        <color theme="1"/>
        <rFont val="Century Gothic"/>
        <family val="2"/>
      </rPr>
      <t>ommercial operations</t>
    </r>
  </si>
  <si>
    <t>Major expenditure jobs</t>
  </si>
  <si>
    <t>Historic OPEX from OPEX Schedules</t>
  </si>
  <si>
    <t>Source: Auditor-reviewed OPEX Schedules for Covered Pipeline</t>
  </si>
  <si>
    <t>Source: GGT</t>
  </si>
  <si>
    <t>Forecast Corporate Costs</t>
  </si>
  <si>
    <t>OPEX (excluding separately forecast)</t>
  </si>
  <si>
    <t>OPEX proportions (excluding separately forecast)</t>
  </si>
  <si>
    <t>Source:  WA Treasury Budget 2018/19 Paper 3, p. 2; ABS WPI June 2018 Update</t>
  </si>
  <si>
    <t>Premium of EGWWS WPI over Australian All industires</t>
  </si>
  <si>
    <t>Nominal Labour Escalation Forecast per annum</t>
  </si>
  <si>
    <t>Forecast inflation</t>
  </si>
  <si>
    <t>ERA consistent Labour Escalation Factor</t>
  </si>
  <si>
    <t>Plus/minus step changes</t>
  </si>
  <si>
    <t>Less base year items separately forecast</t>
  </si>
  <si>
    <t>Total separately forecast</t>
  </si>
  <si>
    <t>Real labour cost escalation</t>
  </si>
  <si>
    <t>Baseline forecast OPEX</t>
  </si>
  <si>
    <t>Separate forecasts</t>
  </si>
  <si>
    <t>Starting Base Year OPEX</t>
  </si>
  <si>
    <t>Efficient base year plus/minus step changes</t>
  </si>
  <si>
    <t>Efficient base year</t>
  </si>
  <si>
    <t>Labour component of OPEX</t>
  </si>
  <si>
    <t>Non-labour OPEX</t>
  </si>
  <si>
    <t>Labour cost (adjusted for real labour price change)</t>
  </si>
  <si>
    <t/>
  </si>
  <si>
    <t>Labour proportion of OPEX</t>
  </si>
  <si>
    <t>Total OPEX</t>
  </si>
  <si>
    <t>Non labour OPEX</t>
  </si>
  <si>
    <t>Labour OPEX</t>
  </si>
  <si>
    <t>ERA : Western Power Method</t>
  </si>
  <si>
    <t>Source:  KPMG; allocation from June 2016  GGP Access A</t>
  </si>
  <si>
    <t>Source:  ERA June 2016 Final Decsion on Proposed Revisions to Access Arrangement for the Goldfields Gas Pipeline</t>
  </si>
  <si>
    <t>Source:  KPMG, Corporate Cost Benchmarking, 19 December 2018</t>
  </si>
  <si>
    <t>Forecast Operating Expenditure ($ real 2018)</t>
  </si>
  <si>
    <t>Historic Operating Expenditure ($ nominal)</t>
  </si>
  <si>
    <t>Major expenditure jobs ($ real 2018)</t>
  </si>
  <si>
    <t>Forecast Operating Expenditure ($ nominal)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</si>
</sst>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;[Red]\-&quot;$&quot;#,##0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0_-;\-* #,##0.000_-;_-* &quot;-&quot;???_-;_-@_-"/>
    <numFmt numFmtId="167" formatCode="0.000"/>
    <numFmt numFmtId="168" formatCode="_-* #,##0.00_-;\-* #,##0.00_-;_-* &quot;-&quot;???_-;_-@_-"/>
    <numFmt numFmtId="169" formatCode="_-* #,##0.000_-;\-* #,##0.000_-;_-* &quot;-&quot;??_-;_-@_-"/>
    <numFmt numFmtId="170" formatCode="#,##0.000_ ;\-#,##0.000\ "/>
    <numFmt numFmtId="171" formatCode="_-* #,##0.0000_-;\-* #,##0.0000_-;_-* &quot;-&quot;??_-;_-@_-"/>
    <numFmt numFmtId="172" formatCode="#,##0.000"/>
    <numFmt numFmtId="173" formatCode="#,##0.000_ ;[Red]\-#,##0.000\ "/>
    <numFmt numFmtId="174" formatCode="0.0000"/>
  </numFmts>
  <fonts count="32" x14ac:knownFonts="1"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entury Gothic"/>
      <family val="2"/>
    </font>
    <font>
      <b/>
      <sz val="11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8"/>
      <color theme="1"/>
      <name val="Century Gothic"/>
      <family val="2"/>
    </font>
    <font>
      <b/>
      <sz val="11"/>
      <color rgb="FF7030A0"/>
      <name val="Century Gothic"/>
      <family val="2"/>
    </font>
    <font>
      <b/>
      <sz val="8"/>
      <color theme="0"/>
      <name val="Calibri"/>
      <family val="2"/>
      <scheme val="minor"/>
    </font>
    <font>
      <b/>
      <sz val="15"/>
      <color theme="9" tint="-0.24994659260841701"/>
      <name val="Calibri"/>
      <family val="2"/>
      <scheme val="minor"/>
    </font>
    <font>
      <b/>
      <sz val="18"/>
      <color rgb="FF92D050"/>
      <name val="Calibri Light"/>
      <family val="2"/>
      <scheme val="major"/>
    </font>
    <font>
      <b/>
      <sz val="10"/>
      <color rgb="FF92D050"/>
      <name val="Century Gothic"/>
      <family val="2"/>
    </font>
    <font>
      <b/>
      <sz val="10"/>
      <color theme="9"/>
      <name val="Century Gothic"/>
      <family val="2"/>
    </font>
    <font>
      <sz val="10"/>
      <color rgb="FF49701E"/>
      <name val="Century Gothic"/>
      <family val="2"/>
    </font>
    <font>
      <sz val="11"/>
      <color rgb="FF49701E"/>
      <name val="Calibri"/>
      <family val="2"/>
      <scheme val="minor"/>
    </font>
    <font>
      <b/>
      <sz val="10"/>
      <color rgb="FFCAB306"/>
      <name val="Century Gothic"/>
      <family val="2"/>
    </font>
    <font>
      <sz val="9"/>
      <color theme="1"/>
      <name val="Century Gothic"/>
      <family val="2"/>
    </font>
    <font>
      <b/>
      <sz val="9"/>
      <name val="Arial Narrow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rgb="FF25282A"/>
      <name val="Century Gothic"/>
      <family val="2"/>
    </font>
    <font>
      <b/>
      <sz val="10"/>
      <color theme="1"/>
      <name val="Century Gothic"/>
      <family val="2"/>
    </font>
    <font>
      <sz val="10"/>
      <color rgb="FFAA9606"/>
      <name val="Century Gothic"/>
      <family val="2"/>
    </font>
    <font>
      <sz val="8"/>
      <color theme="1"/>
      <name val="Century Gothic"/>
      <family val="2"/>
    </font>
    <font>
      <sz val="10"/>
      <color theme="9" tint="-0.499984740745262"/>
      <name val="Century Gothic"/>
      <family val="2"/>
    </font>
    <font>
      <b/>
      <sz val="10"/>
      <color theme="9" tint="-0.499984740745262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25282A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2F9EB"/>
        <bgColor indexed="64"/>
      </patternFill>
    </fill>
    <fill>
      <patternFill patternType="solid">
        <fgColor rgb="FFF1FDF2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/>
      <bottom style="thick">
        <color theme="9" tint="-0.24994659260841701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/>
      <top/>
      <bottom style="thick">
        <color rgb="FFF8DD18"/>
      </bottom>
      <diagonal/>
    </border>
    <border>
      <left/>
      <right/>
      <top/>
      <bottom style="medium">
        <color rgb="FF92D050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92D050"/>
      </top>
      <bottom style="thin">
        <color rgb="FF7F7F7F"/>
      </bottom>
      <diagonal/>
    </border>
    <border>
      <left style="thin">
        <color rgb="FF7F7F7F"/>
      </left>
      <right/>
      <top style="thin">
        <color theme="9" tint="-0.24994659260841701"/>
      </top>
      <bottom/>
      <diagonal/>
    </border>
    <border>
      <left style="thin">
        <color rgb="FF7F7F7F"/>
      </left>
      <right style="thin">
        <color rgb="FF7F7F7F"/>
      </right>
      <top style="thin">
        <color theme="9" tint="-0.24994659260841701"/>
      </top>
      <bottom style="thin">
        <color rgb="FF7F7F7F"/>
      </bottom>
      <diagonal/>
    </border>
    <border>
      <left/>
      <right/>
      <top style="thick">
        <color rgb="FF92D050"/>
      </top>
      <bottom/>
      <diagonal/>
    </border>
    <border>
      <left style="thin">
        <color rgb="FFB2B2B2"/>
      </left>
      <right style="thin">
        <color rgb="FFB2B2B2"/>
      </right>
      <top style="thin">
        <color rgb="FF7F7F7F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9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9" tint="-0.499984740745262"/>
      </top>
      <bottom style="thin">
        <color theme="0" tint="-0.499984740745262"/>
      </bottom>
      <diagonal/>
    </border>
    <border>
      <left/>
      <right/>
      <top style="thick">
        <color theme="9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9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ck">
        <color rgb="FFF8DD18"/>
      </top>
      <bottom style="thin">
        <color rgb="FF7F7F7F"/>
      </bottom>
      <diagonal/>
    </border>
  </borders>
  <cellStyleXfs count="28">
    <xf numFmtId="0" fontId="0" fillId="8" borderId="0"/>
    <xf numFmtId="9" fontId="18" fillId="0" borderId="0" applyFill="0" applyBorder="0" applyAlignment="0" applyProtection="0"/>
    <xf numFmtId="0" fontId="14" fillId="8" borderId="8" applyNumberFormat="0" applyAlignment="0" applyProtection="0"/>
    <xf numFmtId="0" fontId="13" fillId="8" borderId="7" applyNumberFormat="0" applyAlignment="0" applyProtection="0"/>
    <xf numFmtId="0" fontId="15" fillId="8" borderId="9" applyNumberFormat="0" applyAlignment="0" applyProtection="0"/>
    <xf numFmtId="0" fontId="19" fillId="8" borderId="10" applyNumberFormat="0" applyAlignment="0" applyProtection="0"/>
    <xf numFmtId="0" fontId="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14" borderId="6" applyNumberFormat="0" applyAlignment="0" applyProtection="0"/>
    <xf numFmtId="166" fontId="16" fillId="13" borderId="11" applyAlignment="0" applyProtection="0"/>
    <xf numFmtId="166" fontId="17" fillId="0" borderId="1" applyAlignment="0" applyProtection="0"/>
    <xf numFmtId="0" fontId="10" fillId="5" borderId="2" applyNumberFormat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1" fillId="8" borderId="3">
      <alignment horizontal="left" vertical="center" wrapText="1"/>
    </xf>
    <xf numFmtId="0" fontId="24" fillId="8" borderId="0">
      <alignment horizontal="left" vertical="center" wrapText="1"/>
    </xf>
    <xf numFmtId="166" fontId="24" fillId="8" borderId="0">
      <alignment horizontal="right" vertical="center" wrapText="1"/>
    </xf>
    <xf numFmtId="43" fontId="2" fillId="0" borderId="0" applyFont="0" applyFill="0" applyBorder="0" applyAlignment="0" applyProtection="0"/>
    <xf numFmtId="0" fontId="26" fillId="15" borderId="6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9" borderId="0" applyNumberFormat="0" applyBorder="0" applyAlignment="0" applyProtection="0"/>
    <xf numFmtId="0" fontId="11" fillId="10" borderId="4"/>
    <xf numFmtId="166" fontId="12" fillId="11" borderId="5" applyAlignment="0" applyProtection="0"/>
    <xf numFmtId="0" fontId="1" fillId="12" borderId="0" applyNumberFormat="0" applyBorder="0" applyAlignment="0" applyProtection="0"/>
    <xf numFmtId="166" fontId="24" fillId="8" borderId="14">
      <alignment horizontal="right" vertical="center" wrapText="1"/>
    </xf>
  </cellStyleXfs>
  <cellXfs count="168">
    <xf numFmtId="0" fontId="0" fillId="8" borderId="0" xfId="0"/>
    <xf numFmtId="0" fontId="6" fillId="8" borderId="0" xfId="0" applyFont="1" applyFill="1"/>
    <xf numFmtId="0" fontId="13" fillId="8" borderId="7" xfId="3"/>
    <xf numFmtId="0" fontId="13" fillId="8" borderId="7" xfId="3" applyAlignment="1">
      <alignment horizontal="center"/>
    </xf>
    <xf numFmtId="0" fontId="6" fillId="0" borderId="0" xfId="0" applyFont="1" applyFill="1"/>
    <xf numFmtId="0" fontId="6" fillId="8" borderId="0" xfId="0" applyFont="1"/>
    <xf numFmtId="0" fontId="6" fillId="14" borderId="6" xfId="10"/>
    <xf numFmtId="166" fontId="17" fillId="0" borderId="1" xfId="12"/>
    <xf numFmtId="41" fontId="17" fillId="0" borderId="1" xfId="12" applyNumberFormat="1"/>
    <xf numFmtId="0" fontId="10" fillId="5" borderId="2" xfId="13"/>
    <xf numFmtId="6" fontId="17" fillId="0" borderId="1" xfId="12" quotePrefix="1" applyNumberFormat="1"/>
    <xf numFmtId="0" fontId="14" fillId="8" borderId="8" xfId="2"/>
    <xf numFmtId="0" fontId="15" fillId="8" borderId="9" xfId="4"/>
    <xf numFmtId="14" fontId="6" fillId="14" borderId="6" xfId="10" applyNumberFormat="1"/>
    <xf numFmtId="2" fontId="6" fillId="14" borderId="6" xfId="10" applyNumberFormat="1"/>
    <xf numFmtId="2" fontId="17" fillId="0" borderId="1" xfId="12" applyNumberFormat="1"/>
    <xf numFmtId="0" fontId="0" fillId="8" borderId="0" xfId="0"/>
    <xf numFmtId="0" fontId="24" fillId="8" borderId="0" xfId="17">
      <alignment horizontal="left" vertical="center" wrapText="1"/>
    </xf>
    <xf numFmtId="166" fontId="24" fillId="8" borderId="0" xfId="18">
      <alignment horizontal="right" vertical="center" wrapText="1"/>
    </xf>
    <xf numFmtId="165" fontId="24" fillId="8" borderId="0" xfId="18" applyNumberFormat="1">
      <alignment horizontal="right" vertical="center" wrapText="1"/>
    </xf>
    <xf numFmtId="0" fontId="13" fillId="8" borderId="7" xfId="3" applyAlignment="1">
      <alignment horizontal="center"/>
    </xf>
    <xf numFmtId="0" fontId="26" fillId="15" borderId="6" xfId="20"/>
    <xf numFmtId="0" fontId="0" fillId="8" borderId="0" xfId="0"/>
    <xf numFmtId="10" fontId="6" fillId="14" borderId="6" xfId="10" applyNumberFormat="1"/>
    <xf numFmtId="43" fontId="6" fillId="8" borderId="0" xfId="0" applyNumberFormat="1" applyFont="1"/>
    <xf numFmtId="166" fontId="12" fillId="11" borderId="5" xfId="25"/>
    <xf numFmtId="0" fontId="0" fillId="8" borderId="0" xfId="0"/>
    <xf numFmtId="0" fontId="13" fillId="8" borderId="7" xfId="3" applyAlignment="1">
      <alignment horizontal="center"/>
    </xf>
    <xf numFmtId="0" fontId="0" fillId="8" borderId="0" xfId="0" applyFill="1"/>
    <xf numFmtId="43" fontId="26" fillId="15" borderId="6" xfId="20" applyNumberFormat="1"/>
    <xf numFmtId="6" fontId="13" fillId="8" borderId="7" xfId="3" quotePrefix="1" applyNumberFormat="1"/>
    <xf numFmtId="165" fontId="14" fillId="8" borderId="8" xfId="2" applyNumberFormat="1"/>
    <xf numFmtId="164" fontId="26" fillId="15" borderId="6" xfId="20" applyNumberFormat="1"/>
    <xf numFmtId="10" fontId="26" fillId="15" borderId="6" xfId="20" applyNumberFormat="1"/>
    <xf numFmtId="43" fontId="13" fillId="8" borderId="7" xfId="3" applyNumberFormat="1"/>
    <xf numFmtId="0" fontId="20" fillId="8" borderId="13" xfId="0" applyFont="1" applyBorder="1" applyAlignment="1">
      <alignment horizontal="right" vertical="center" wrapText="1"/>
    </xf>
    <xf numFmtId="166" fontId="24" fillId="8" borderId="14" xfId="27" applyAlignment="1">
      <alignment horizontal="left" vertical="center" wrapText="1"/>
    </xf>
    <xf numFmtId="166" fontId="24" fillId="8" borderId="14" xfId="18" applyNumberFormat="1" applyBorder="1">
      <alignment horizontal="right" vertical="center" wrapText="1"/>
    </xf>
    <xf numFmtId="168" fontId="24" fillId="8" borderId="14" xfId="27" applyNumberFormat="1">
      <alignment horizontal="right" vertical="center" wrapText="1"/>
    </xf>
    <xf numFmtId="0" fontId="22" fillId="8" borderId="0" xfId="0" applyFont="1" applyAlignment="1">
      <alignment vertical="center" wrapText="1"/>
    </xf>
    <xf numFmtId="0" fontId="23" fillId="8" borderId="12" xfId="0" applyFont="1" applyBorder="1" applyAlignment="1">
      <alignment horizontal="right" vertical="center" wrapText="1"/>
    </xf>
    <xf numFmtId="0" fontId="24" fillId="8" borderId="13" xfId="17" applyBorder="1" applyAlignment="1">
      <alignment horizontal="right" vertical="center" wrapText="1"/>
    </xf>
    <xf numFmtId="166" fontId="23" fillId="8" borderId="14" xfId="0" applyNumberFormat="1" applyFont="1" applyBorder="1" applyAlignment="1">
      <alignment horizontal="right" vertical="center" wrapText="1"/>
    </xf>
    <xf numFmtId="166" fontId="12" fillId="11" borderId="5" xfId="25" applyNumberFormat="1"/>
    <xf numFmtId="0" fontId="23" fillId="8" borderId="0" xfId="0" applyFont="1" applyBorder="1" applyAlignment="1">
      <alignment horizontal="right" vertical="center" wrapText="1"/>
    </xf>
    <xf numFmtId="0" fontId="17" fillId="0" borderId="1" xfId="12" applyNumberFormat="1"/>
    <xf numFmtId="0" fontId="22" fillId="8" borderId="13" xfId="0" applyFont="1" applyBorder="1" applyAlignment="1">
      <alignment horizontal="right" vertical="center" wrapText="1"/>
    </xf>
    <xf numFmtId="167" fontId="24" fillId="8" borderId="0" xfId="18" applyNumberFormat="1">
      <alignment horizontal="right" vertical="center" wrapText="1"/>
    </xf>
    <xf numFmtId="169" fontId="24" fillId="8" borderId="0" xfId="18" applyNumberFormat="1">
      <alignment horizontal="right" vertical="center" wrapText="1"/>
    </xf>
    <xf numFmtId="167" fontId="12" fillId="11" borderId="5" xfId="25" applyNumberFormat="1"/>
    <xf numFmtId="2" fontId="6" fillId="8" borderId="0" xfId="0" applyNumberFormat="1" applyFont="1" applyFill="1"/>
    <xf numFmtId="166" fontId="6" fillId="8" borderId="0" xfId="0" applyNumberFormat="1" applyFont="1"/>
    <xf numFmtId="0" fontId="10" fillId="5" borderId="2" xfId="13" applyNumberFormat="1"/>
    <xf numFmtId="0" fontId="22" fillId="8" borderId="12" xfId="0" applyFont="1" applyBorder="1" applyAlignment="1">
      <alignment vertical="center" wrapText="1"/>
    </xf>
    <xf numFmtId="0" fontId="22" fillId="8" borderId="0" xfId="0" applyFont="1" applyBorder="1" applyAlignment="1">
      <alignment vertical="center" wrapText="1"/>
    </xf>
    <xf numFmtId="0" fontId="22" fillId="8" borderId="13" xfId="0" applyFont="1" applyBorder="1" applyAlignment="1">
      <alignment vertical="center" wrapText="1"/>
    </xf>
    <xf numFmtId="170" fontId="6" fillId="8" borderId="0" xfId="0" applyNumberFormat="1" applyFont="1" applyFill="1"/>
    <xf numFmtId="171" fontId="0" fillId="8" borderId="0" xfId="0" applyNumberFormat="1"/>
    <xf numFmtId="172" fontId="0" fillId="8" borderId="0" xfId="0" applyNumberFormat="1"/>
    <xf numFmtId="172" fontId="17" fillId="0" borderId="1" xfId="12" applyNumberFormat="1"/>
    <xf numFmtId="173" fontId="26" fillId="15" borderId="6" xfId="20" applyNumberFormat="1"/>
    <xf numFmtId="170" fontId="17" fillId="0" borderId="1" xfId="12" applyNumberFormat="1"/>
    <xf numFmtId="170" fontId="16" fillId="13" borderId="11" xfId="11" applyNumberFormat="1"/>
    <xf numFmtId="172" fontId="22" fillId="8" borderId="0" xfId="0" applyNumberFormat="1" applyFont="1" applyAlignment="1">
      <alignment horizontal="right" vertical="center" wrapText="1"/>
    </xf>
    <xf numFmtId="0" fontId="6" fillId="8" borderId="0" xfId="0" applyFont="1" applyBorder="1"/>
    <xf numFmtId="0" fontId="13" fillId="8" borderId="0" xfId="3" applyBorder="1"/>
    <xf numFmtId="166" fontId="6" fillId="14" borderId="0" xfId="10" applyNumberFormat="1" applyBorder="1" applyAlignment="1">
      <alignment horizontal="right" vertical="center" wrapText="1"/>
    </xf>
    <xf numFmtId="167" fontId="22" fillId="8" borderId="0" xfId="0" applyNumberFormat="1" applyFont="1" applyBorder="1" applyAlignment="1">
      <alignment horizontal="right" vertical="center" wrapText="1"/>
    </xf>
    <xf numFmtId="173" fontId="27" fillId="8" borderId="0" xfId="0" applyNumberFormat="1" applyFont="1" applyAlignment="1">
      <alignment vertical="center" wrapText="1"/>
    </xf>
    <xf numFmtId="0" fontId="20" fillId="8" borderId="0" xfId="0" applyFont="1" applyBorder="1" applyAlignment="1">
      <alignment horizontal="right" vertical="center" wrapText="1"/>
    </xf>
    <xf numFmtId="0" fontId="25" fillId="8" borderId="0" xfId="0" applyFont="1" applyBorder="1" applyAlignment="1">
      <alignment horizontal="right" vertical="center" wrapText="1"/>
    </xf>
    <xf numFmtId="173" fontId="17" fillId="0" borderId="1" xfId="12" applyNumberFormat="1"/>
    <xf numFmtId="0" fontId="16" fillId="13" borderId="11" xfId="11" applyNumberFormat="1"/>
    <xf numFmtId="0" fontId="12" fillId="11" borderId="5" xfId="25" applyNumberFormat="1"/>
    <xf numFmtId="0" fontId="6" fillId="0" borderId="1" xfId="12" applyNumberFormat="1" applyFont="1"/>
    <xf numFmtId="166" fontId="6" fillId="0" borderId="1" xfId="12" applyFont="1"/>
    <xf numFmtId="173" fontId="6" fillId="14" borderId="6" xfId="10" applyNumberFormat="1"/>
    <xf numFmtId="173" fontId="10" fillId="5" borderId="2" xfId="13" applyNumberFormat="1"/>
    <xf numFmtId="173" fontId="17" fillId="0" borderId="1" xfId="12" applyNumberFormat="1" applyFont="1"/>
    <xf numFmtId="0" fontId="6" fillId="0" borderId="6" xfId="10" applyFont="1" applyFill="1"/>
    <xf numFmtId="173" fontId="6" fillId="0" borderId="1" xfId="12" applyNumberFormat="1" applyFont="1" applyFill="1"/>
    <xf numFmtId="0" fontId="6" fillId="0" borderId="16" xfId="10" applyFont="1" applyFill="1" applyBorder="1"/>
    <xf numFmtId="0" fontId="6" fillId="0" borderId="16" xfId="10" applyFill="1" applyBorder="1"/>
    <xf numFmtId="173" fontId="6" fillId="0" borderId="16" xfId="10" applyNumberFormat="1" applyFill="1" applyBorder="1"/>
    <xf numFmtId="0" fontId="6" fillId="0" borderId="1" xfId="10" applyFont="1" applyFill="1" applyBorder="1"/>
    <xf numFmtId="0" fontId="6" fillId="0" borderId="1" xfId="10" applyFill="1" applyBorder="1"/>
    <xf numFmtId="173" fontId="6" fillId="0" borderId="1" xfId="10" applyNumberFormat="1" applyFill="1" applyBorder="1"/>
    <xf numFmtId="0" fontId="17" fillId="0" borderId="1" xfId="12" applyNumberFormat="1" applyBorder="1"/>
    <xf numFmtId="166" fontId="17" fillId="0" borderId="1" xfId="12" applyBorder="1"/>
    <xf numFmtId="173" fontId="17" fillId="0" borderId="1" xfId="12" applyNumberFormat="1" applyBorder="1"/>
    <xf numFmtId="0" fontId="13" fillId="8" borderId="0" xfId="3" applyBorder="1" applyAlignment="1">
      <alignment horizontal="center"/>
    </xf>
    <xf numFmtId="0" fontId="6" fillId="0" borderId="17" xfId="0" applyFont="1" applyFill="1" applyBorder="1"/>
    <xf numFmtId="173" fontId="6" fillId="0" borderId="18" xfId="10" applyNumberFormat="1" applyFill="1" applyBorder="1"/>
    <xf numFmtId="0" fontId="14" fillId="8" borderId="19" xfId="2" applyBorder="1"/>
    <xf numFmtId="0" fontId="6" fillId="8" borderId="0" xfId="0" applyFont="1" applyFill="1" applyBorder="1"/>
    <xf numFmtId="0" fontId="10" fillId="0" borderId="0" xfId="13" applyFill="1" applyBorder="1"/>
    <xf numFmtId="0" fontId="10" fillId="5" borderId="20" xfId="13" applyBorder="1"/>
    <xf numFmtId="0" fontId="17" fillId="0" borderId="15" xfId="12" applyNumberFormat="1" applyBorder="1"/>
    <xf numFmtId="166" fontId="28" fillId="0" borderId="15" xfId="12" applyFont="1" applyBorder="1"/>
    <xf numFmtId="169" fontId="28" fillId="0" borderId="15" xfId="12" applyNumberFormat="1" applyFont="1" applyBorder="1"/>
    <xf numFmtId="167" fontId="28" fillId="0" borderId="15" xfId="12" applyNumberFormat="1" applyFont="1" applyBorder="1"/>
    <xf numFmtId="0" fontId="6" fillId="0" borderId="21" xfId="10" applyFill="1" applyBorder="1"/>
    <xf numFmtId="167" fontId="6" fillId="0" borderId="21" xfId="10" applyNumberFormat="1" applyFill="1" applyBorder="1"/>
    <xf numFmtId="0" fontId="6" fillId="0" borderId="22" xfId="10" applyFill="1" applyBorder="1"/>
    <xf numFmtId="167" fontId="6" fillId="0" borderId="22" xfId="10" applyNumberFormat="1" applyFill="1" applyBorder="1"/>
    <xf numFmtId="0" fontId="10" fillId="5" borderId="23" xfId="13" applyBorder="1"/>
    <xf numFmtId="0" fontId="6" fillId="0" borderId="21" xfId="10" applyFont="1" applyFill="1" applyBorder="1"/>
    <xf numFmtId="167" fontId="6" fillId="0" borderId="21" xfId="10" applyNumberFormat="1" applyFont="1" applyFill="1" applyBorder="1"/>
    <xf numFmtId="172" fontId="6" fillId="0" borderId="1" xfId="12" applyNumberFormat="1" applyFont="1"/>
    <xf numFmtId="0" fontId="28" fillId="0" borderId="15" xfId="10" applyFont="1" applyFill="1" applyBorder="1"/>
    <xf numFmtId="166" fontId="17" fillId="0" borderId="22" xfId="12" applyBorder="1"/>
    <xf numFmtId="0" fontId="26" fillId="15" borderId="22" xfId="20" applyBorder="1"/>
    <xf numFmtId="0" fontId="13" fillId="8" borderId="7" xfId="3" applyAlignment="1">
      <alignment horizontal="right"/>
    </xf>
    <xf numFmtId="0" fontId="26" fillId="15" borderId="21" xfId="20" applyBorder="1"/>
    <xf numFmtId="0" fontId="17" fillId="0" borderId="22" xfId="12" applyNumberFormat="1" applyBorder="1"/>
    <xf numFmtId="173" fontId="26" fillId="15" borderId="22" xfId="20" applyNumberFormat="1" applyBorder="1"/>
    <xf numFmtId="173" fontId="28" fillId="0" borderId="22" xfId="12" applyNumberFormat="1" applyFont="1" applyBorder="1"/>
    <xf numFmtId="173" fontId="12" fillId="11" borderId="5" xfId="25" applyNumberFormat="1"/>
    <xf numFmtId="166" fontId="17" fillId="0" borderId="25" xfId="12" applyBorder="1"/>
    <xf numFmtId="166" fontId="17" fillId="0" borderId="26" xfId="12" applyBorder="1"/>
    <xf numFmtId="0" fontId="0" fillId="0" borderId="22" xfId="10" applyFont="1" applyFill="1" applyBorder="1"/>
    <xf numFmtId="10" fontId="6" fillId="0" borderId="22" xfId="10" applyNumberFormat="1" applyFill="1" applyBorder="1"/>
    <xf numFmtId="10" fontId="17" fillId="0" borderId="22" xfId="12" applyNumberFormat="1" applyBorder="1"/>
    <xf numFmtId="10" fontId="26" fillId="15" borderId="22" xfId="20" applyNumberFormat="1" applyBorder="1"/>
    <xf numFmtId="174" fontId="16" fillId="13" borderId="11" xfId="11" applyNumberFormat="1"/>
    <xf numFmtId="0" fontId="10" fillId="5" borderId="29" xfId="13" applyBorder="1"/>
    <xf numFmtId="0" fontId="6" fillId="0" borderId="27" xfId="10" applyFill="1" applyBorder="1"/>
    <xf numFmtId="10" fontId="6" fillId="0" borderId="27" xfId="10" applyNumberFormat="1" applyFill="1" applyBorder="1"/>
    <xf numFmtId="0" fontId="25" fillId="8" borderId="30" xfId="4" applyFont="1" applyBorder="1"/>
    <xf numFmtId="0" fontId="15" fillId="8" borderId="30" xfId="4" applyBorder="1"/>
    <xf numFmtId="10" fontId="26" fillId="15" borderId="28" xfId="20" applyNumberFormat="1" applyBorder="1"/>
    <xf numFmtId="174" fontId="16" fillId="13" borderId="24" xfId="11" applyNumberFormat="1" applyBorder="1"/>
    <xf numFmtId="174" fontId="16" fillId="13" borderId="31" xfId="11" applyNumberFormat="1" applyBorder="1"/>
    <xf numFmtId="10" fontId="26" fillId="15" borderId="27" xfId="20" applyNumberFormat="1" applyBorder="1"/>
    <xf numFmtId="0" fontId="0" fillId="8" borderId="32" xfId="0" applyBorder="1"/>
    <xf numFmtId="0" fontId="0" fillId="8" borderId="33" xfId="0" applyBorder="1"/>
    <xf numFmtId="164" fontId="17" fillId="0" borderId="26" xfId="1" applyNumberFormat="1" applyFont="1" applyBorder="1"/>
    <xf numFmtId="164" fontId="18" fillId="13" borderId="11" xfId="1" applyNumberFormat="1" applyFill="1" applyBorder="1"/>
    <xf numFmtId="0" fontId="6" fillId="0" borderId="0" xfId="0" applyNumberFormat="1" applyFont="1" applyFill="1"/>
    <xf numFmtId="0" fontId="14" fillId="8" borderId="8" xfId="2" applyNumberFormat="1"/>
    <xf numFmtId="0" fontId="17" fillId="0" borderId="1" xfId="12" quotePrefix="1" applyNumberFormat="1"/>
    <xf numFmtId="0" fontId="29" fillId="8" borderId="9" xfId="4" applyFont="1" applyAlignment="1">
      <alignment horizontal="left" vertical="center" wrapText="1"/>
    </xf>
    <xf numFmtId="0" fontId="29" fillId="8" borderId="9" xfId="4" applyFont="1"/>
    <xf numFmtId="0" fontId="6" fillId="0" borderId="1" xfId="12" applyNumberFormat="1" applyFont="1" applyAlignment="1">
      <alignment horizontal="left" vertical="center" wrapText="1"/>
    </xf>
    <xf numFmtId="0" fontId="17" fillId="0" borderId="1" xfId="12" applyNumberFormat="1" applyAlignment="1">
      <alignment horizontal="left" vertical="center" wrapText="1"/>
    </xf>
    <xf numFmtId="173" fontId="6" fillId="0" borderId="6" xfId="19" applyNumberFormat="1" applyFont="1" applyFill="1" applyBorder="1"/>
    <xf numFmtId="173" fontId="17" fillId="0" borderId="34" xfId="12" applyNumberFormat="1" applyBorder="1"/>
    <xf numFmtId="43" fontId="6" fillId="0" borderId="6" xfId="10" applyNumberFormat="1" applyFill="1"/>
    <xf numFmtId="0" fontId="6" fillId="0" borderId="1" xfId="12" applyNumberFormat="1" applyFont="1" applyFill="1"/>
    <xf numFmtId="166" fontId="6" fillId="0" borderId="1" xfId="12" applyFont="1" applyFill="1" applyBorder="1"/>
    <xf numFmtId="43" fontId="6" fillId="0" borderId="1" xfId="12" applyNumberFormat="1" applyFont="1" applyFill="1" applyBorder="1"/>
    <xf numFmtId="165" fontId="6" fillId="0" borderId="1" xfId="12" applyNumberFormat="1" applyFont="1" applyFill="1" applyBorder="1"/>
    <xf numFmtId="43" fontId="6" fillId="0" borderId="1" xfId="10" applyNumberFormat="1" applyFont="1" applyFill="1" applyBorder="1"/>
    <xf numFmtId="165" fontId="6" fillId="0" borderId="1" xfId="10" applyNumberFormat="1" applyFont="1" applyFill="1" applyBorder="1"/>
    <xf numFmtId="165" fontId="17" fillId="0" borderId="1" xfId="12" applyNumberFormat="1" applyBorder="1"/>
    <xf numFmtId="164" fontId="17" fillId="0" borderId="1" xfId="12" applyNumberFormat="1" applyBorder="1"/>
    <xf numFmtId="0" fontId="0" fillId="8" borderId="0" xfId="0" quotePrefix="1" applyFont="1"/>
    <xf numFmtId="6" fontId="17" fillId="0" borderId="25" xfId="12" quotePrefix="1" applyNumberFormat="1" applyBorder="1"/>
    <xf numFmtId="166" fontId="16" fillId="13" borderId="22" xfId="11" applyBorder="1"/>
    <xf numFmtId="0" fontId="24" fillId="8" borderId="14" xfId="18" applyNumberFormat="1" applyBorder="1" applyAlignment="1">
      <alignment horizontal="left" vertical="center" wrapText="1"/>
    </xf>
    <xf numFmtId="0" fontId="24" fillId="8" borderId="14" xfId="27" applyNumberFormat="1" applyAlignment="1">
      <alignment horizontal="left" vertical="center" wrapText="1"/>
    </xf>
    <xf numFmtId="0" fontId="22" fillId="8" borderId="14" xfId="0" applyFont="1" applyBorder="1" applyAlignment="1">
      <alignment vertical="center" wrapText="1"/>
    </xf>
    <xf numFmtId="170" fontId="17" fillId="0" borderId="1" xfId="12" applyNumberFormat="1" applyFill="1"/>
    <xf numFmtId="0" fontId="25" fillId="8" borderId="0" xfId="0" applyFont="1" applyFill="1"/>
    <xf numFmtId="0" fontId="14" fillId="8" borderId="0" xfId="2" applyBorder="1"/>
    <xf numFmtId="0" fontId="6" fillId="0" borderId="0" xfId="0" applyFont="1" applyFill="1" applyBorder="1"/>
    <xf numFmtId="0" fontId="30" fillId="8" borderId="0" xfId="0" applyFont="1" applyBorder="1" applyAlignment="1">
      <alignment horizontal="right" vertical="center" wrapText="1"/>
    </xf>
    <xf numFmtId="166" fontId="31" fillId="8" borderId="14" xfId="27" applyFont="1">
      <alignment horizontal="right" vertical="center" wrapText="1"/>
    </xf>
  </cellXfs>
  <cellStyles count="28">
    <cellStyle name="20% - Accent1" xfId="14" builtinId="30" hidden="1"/>
    <cellStyle name="20% - Accent2" xfId="23" builtinId="34" hidden="1"/>
    <cellStyle name="20% - Accent3" xfId="26" builtinId="38" hidden="1"/>
    <cellStyle name="40% - Accent2" xfId="15" builtinId="35" hidden="1"/>
    <cellStyle name="Bad" xfId="8" builtinId="27" hidden="1"/>
    <cellStyle name="Calculation" xfId="12" builtinId="22" customBuiltin="1"/>
    <cellStyle name="Check Cell" xfId="25" builtinId="23" customBuiltin="1"/>
    <cellStyle name="Comma" xfId="19" builtinId="3"/>
    <cellStyle name="Explanatory Text" xfId="22" builtinId="53" hidden="1"/>
    <cellStyle name="Good" xfId="7" builtinId="26" hidde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20" builtinId="24" customBuiltin="1"/>
    <cellStyle name="Neutral" xfId="9" builtinId="28" hidden="1"/>
    <cellStyle name="Normal" xfId="0" builtinId="0" customBuiltin="1"/>
    <cellStyle name="Note" xfId="13" builtinId="10" customBuiltin="1"/>
    <cellStyle name="Output" xfId="11" builtinId="21" customBuiltin="1"/>
    <cellStyle name="Percent" xfId="1" builtinId="5" customBuiltin="1"/>
    <cellStyle name="Placeholder" xfId="24"/>
    <cellStyle name="Table body number" xfId="18"/>
    <cellStyle name="Table body Text" xfId="17"/>
    <cellStyle name="Table body total" xfId="27"/>
    <cellStyle name="Table Heading" xfId="16"/>
    <cellStyle name="Title" xfId="2" builtinId="15" customBuiltin="1"/>
    <cellStyle name="Warning Text" xfId="21" builtinId="11" hidden="1"/>
  </cellStyles>
  <dxfs count="0"/>
  <tableStyles count="0" defaultTableStyle="TableStyleMedium2" defaultPivotStyle="PivotStyleLight16"/>
  <colors>
    <mruColors>
      <color rgb="FFFFFFCC"/>
      <color rgb="FF49701E"/>
      <color rgb="FFF1FDF2"/>
      <color rgb="FFAA9606"/>
      <color rgb="FFF8DD18"/>
      <color rgb="FFCAB306"/>
      <color rgb="FFDBC207"/>
      <color rgb="FFF2F9EB"/>
      <color rgb="FFEFFFE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638175</xdr:colOff>
      <xdr:row>10</xdr:row>
      <xdr:rowOff>47625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2550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1190625</xdr:colOff>
      <xdr:row>9</xdr:row>
      <xdr:rowOff>123825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71450"/>
          <a:ext cx="1190624" cy="1495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1190624</xdr:colOff>
      <xdr:row>9</xdr:row>
      <xdr:rowOff>123825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"/>
          <a:ext cx="1190624" cy="1495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1190624</xdr:colOff>
      <xdr:row>9</xdr:row>
      <xdr:rowOff>123825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"/>
          <a:ext cx="1190624" cy="1495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1190624</xdr:colOff>
      <xdr:row>9</xdr:row>
      <xdr:rowOff>123825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"/>
          <a:ext cx="1190624" cy="1495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1190624</xdr:colOff>
      <xdr:row>9</xdr:row>
      <xdr:rowOff>147271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73" y="168519"/>
          <a:ext cx="1190624" cy="1495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hub.apa.com.au/Corporate/Directlink2020/Revenue%20Proposal%20%20Draft%20RIN/Directlink%202021-25%20-%20Draft%20Reset%20RIN%20-%20workbook%203%20-%20EBS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 only"/>
      <sheetName val="Business &amp; other details"/>
      <sheetName val="7.5 EBSS"/>
    </sheetNames>
    <sheetDataSet>
      <sheetData sheetId="0"/>
      <sheetData sheetId="1">
        <row r="14">
          <cell r="C14" t="str">
            <v>Directlink</v>
          </cell>
        </row>
        <row r="35">
          <cell r="C35" t="str">
            <v>2020-21</v>
          </cell>
          <cell r="D35" t="str">
            <v>2021-22</v>
          </cell>
          <cell r="E35" t="str">
            <v>2022-23</v>
          </cell>
          <cell r="F35" t="str">
            <v>2023-24</v>
          </cell>
          <cell r="G35" t="str">
            <v>2024-25</v>
          </cell>
        </row>
        <row r="39">
          <cell r="C39" t="str">
            <v>2015-16</v>
          </cell>
          <cell r="D39" t="str">
            <v>2016-17</v>
          </cell>
          <cell r="E39" t="str">
            <v>2017-18</v>
          </cell>
          <cell r="F39" t="str">
            <v>2018-19</v>
          </cell>
          <cell r="G39" t="str">
            <v>2019-20</v>
          </cell>
        </row>
        <row r="44">
          <cell r="C44" t="str">
            <v>2010-11</v>
          </cell>
          <cell r="D44" t="str">
            <v>2011-12</v>
          </cell>
          <cell r="E44" t="str">
            <v>2012-13</v>
          </cell>
          <cell r="F44" t="str">
            <v>2013-14</v>
          </cell>
          <cell r="G44" t="str">
            <v>2014-15</v>
          </cell>
        </row>
        <row r="62">
          <cell r="C62" t="str">
            <v>No</v>
          </cell>
        </row>
        <row r="66">
          <cell r="C66" t="str">
            <v>Financial</v>
          </cell>
        </row>
        <row r="73">
          <cell r="C73" t="str">
            <v>June</v>
          </cell>
        </row>
        <row r="74">
          <cell r="C74" t="str">
            <v>June 2020</v>
          </cell>
        </row>
      </sheetData>
      <sheetData sheetId="2">
        <row r="24">
          <cell r="C24" t="str">
            <v>2010-11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/>
  </sheetViews>
  <sheetFormatPr defaultRowHeight="13.15" x14ac:dyDescent="0.35"/>
  <cols>
    <col min="1" max="1" width="2.73046875" style="26" customWidth="1"/>
    <col min="2" max="2" width="10.73046875" customWidth="1"/>
    <col min="3" max="3" width="20.73046875" customWidth="1"/>
    <col min="4" max="4" width="15.73046875" customWidth="1"/>
  </cols>
  <sheetData>
    <row r="1" spans="3:3" s="26" customFormat="1" x14ac:dyDescent="0.35"/>
    <row r="11" spans="3:3" s="26" customFormat="1" x14ac:dyDescent="0.35"/>
    <row r="12" spans="3:3" s="26" customFormat="1" x14ac:dyDescent="0.35"/>
    <row r="13" spans="3:3" ht="24.95" customHeight="1" thickBot="1" x14ac:dyDescent="0.65">
      <c r="C13" s="2" t="s">
        <v>35</v>
      </c>
    </row>
    <row r="14" spans="3:3" ht="15" customHeight="1" thickTop="1" x14ac:dyDescent="0.35">
      <c r="C14" s="6" t="s">
        <v>36</v>
      </c>
    </row>
    <row r="15" spans="3:3" ht="15" customHeight="1" x14ac:dyDescent="0.35">
      <c r="C15" s="21" t="s">
        <v>37</v>
      </c>
    </row>
    <row r="16" spans="3:3" ht="15" customHeight="1" x14ac:dyDescent="0.35">
      <c r="C16" s="45" t="s">
        <v>38</v>
      </c>
    </row>
    <row r="17" spans="3:3" ht="15" customHeight="1" thickBot="1" x14ac:dyDescent="0.4">
      <c r="C17" s="72" t="s">
        <v>39</v>
      </c>
    </row>
    <row r="18" spans="3:3" ht="15" customHeight="1" thickTop="1" thickBot="1" x14ac:dyDescent="0.4">
      <c r="C18" s="73" t="s">
        <v>40</v>
      </c>
    </row>
    <row r="19" spans="3:3" ht="15" customHeight="1" thickTop="1" x14ac:dyDescent="0.35">
      <c r="C19" s="9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0"/>
  <sheetViews>
    <sheetView workbookViewId="0"/>
  </sheetViews>
  <sheetFormatPr defaultColWidth="14.1328125" defaultRowHeight="13.15" x14ac:dyDescent="0.35"/>
  <cols>
    <col min="1" max="1" width="2.73046875" style="5" customWidth="1"/>
    <col min="2" max="2" width="70.73046875" style="5" customWidth="1"/>
    <col min="3" max="3" width="15.73046875" style="5" customWidth="1"/>
    <col min="4" max="9" width="20.73046875" style="5" customWidth="1"/>
    <col min="10" max="10" width="16.59765625" style="5" customWidth="1"/>
    <col min="11" max="12" width="14.1328125" style="5"/>
    <col min="13" max="13" width="17.73046875" style="5" customWidth="1"/>
    <col min="14" max="16384" width="14.1328125" style="5"/>
  </cols>
  <sheetData>
    <row r="2" spans="2:10" s="1" customFormat="1" x14ac:dyDescent="0.35"/>
    <row r="3" spans="2:10" s="1" customFormat="1" x14ac:dyDescent="0.35"/>
    <row r="4" spans="2:10" s="1" customFormat="1" x14ac:dyDescent="0.35"/>
    <row r="5" spans="2:10" s="1" customFormat="1" x14ac:dyDescent="0.35"/>
    <row r="6" spans="2:10" s="1" customFormat="1" x14ac:dyDescent="0.35">
      <c r="D6" s="56"/>
      <c r="E6" s="56"/>
      <c r="F6" s="56"/>
      <c r="G6" s="56"/>
      <c r="H6" s="56"/>
    </row>
    <row r="7" spans="2:10" s="1" customFormat="1" x14ac:dyDescent="0.35"/>
    <row r="8" spans="2:10" s="1" customFormat="1" x14ac:dyDescent="0.35"/>
    <row r="9" spans="2:10" s="1" customFormat="1" x14ac:dyDescent="0.35"/>
    <row r="10" spans="2:10" s="1" customFormat="1" x14ac:dyDescent="0.35"/>
    <row r="11" spans="2:10" s="1" customFormat="1" x14ac:dyDescent="0.35"/>
    <row r="12" spans="2:10" s="1" customFormat="1" ht="13.5" thickBot="1" x14ac:dyDescent="0.4"/>
    <row r="13" spans="2:10" s="26" customFormat="1" ht="24.95" customHeight="1" thickTop="1" thickBot="1" x14ac:dyDescent="0.75">
      <c r="B13" s="11" t="str">
        <f ca="1">RIGHT(CELL("filename",B2),LEN(CELL("filename",B2))-FIND("]",CELL("filename",B2)))</f>
        <v>Input│ Historic Opex</v>
      </c>
      <c r="C13" s="11"/>
      <c r="D13" s="11"/>
      <c r="E13" s="11"/>
      <c r="F13" s="11"/>
      <c r="G13" s="11"/>
      <c r="H13" s="11"/>
      <c r="I13" s="11"/>
    </row>
    <row r="14" spans="2:10" ht="15" customHeight="1" thickTop="1" x14ac:dyDescent="0.35"/>
    <row r="15" spans="2:10" ht="24.95" customHeight="1" thickBot="1" x14ac:dyDescent="0.65">
      <c r="B15" s="2" t="s">
        <v>78</v>
      </c>
      <c r="C15" s="2" t="s">
        <v>0</v>
      </c>
      <c r="D15" s="27">
        <v>2013</v>
      </c>
      <c r="E15" s="3">
        <v>2014</v>
      </c>
      <c r="F15" s="27">
        <v>2015</v>
      </c>
      <c r="G15" s="27">
        <v>2016</v>
      </c>
      <c r="H15" s="27">
        <v>2017</v>
      </c>
      <c r="I15" s="90">
        <v>2018</v>
      </c>
      <c r="J15" s="26"/>
    </row>
    <row r="16" spans="2:10" ht="15" customHeight="1" thickTop="1" x14ac:dyDescent="0.35">
      <c r="B16" s="74" t="s">
        <v>73</v>
      </c>
      <c r="C16" s="74" t="s">
        <v>5</v>
      </c>
      <c r="D16" s="80">
        <v>12.273562226390315</v>
      </c>
      <c r="E16" s="80">
        <v>12.609102402787411</v>
      </c>
      <c r="F16" s="80">
        <v>12.529347</v>
      </c>
      <c r="G16" s="80">
        <v>12.330933999999999</v>
      </c>
      <c r="H16" s="80">
        <v>11.869661000000001</v>
      </c>
      <c r="I16" s="91"/>
      <c r="J16" s="26"/>
    </row>
    <row r="17" spans="2:15" ht="15" customHeight="1" x14ac:dyDescent="0.35">
      <c r="B17" s="74" t="s">
        <v>77</v>
      </c>
      <c r="C17" s="74" t="s">
        <v>5</v>
      </c>
      <c r="D17" s="80">
        <v>0.21335542000000002</v>
      </c>
      <c r="E17" s="80">
        <v>0.22060504</v>
      </c>
      <c r="F17" s="80">
        <v>0.52810500000000005</v>
      </c>
      <c r="G17" s="80">
        <v>4.4363E-2</v>
      </c>
      <c r="H17" s="80">
        <v>0.32215100000000002</v>
      </c>
      <c r="J17" s="26"/>
    </row>
    <row r="18" spans="2:15" ht="15" customHeight="1" x14ac:dyDescent="0.35">
      <c r="B18" s="74" t="s">
        <v>74</v>
      </c>
      <c r="C18" s="74" t="s">
        <v>5</v>
      </c>
      <c r="D18" s="80">
        <v>3.1151565999999997</v>
      </c>
      <c r="E18" s="80">
        <v>2.3148898300000003</v>
      </c>
      <c r="F18" s="80">
        <v>1.034041</v>
      </c>
      <c r="G18" s="80">
        <v>0.75483</v>
      </c>
      <c r="H18" s="80">
        <v>0.59691899999999998</v>
      </c>
      <c r="J18" s="57"/>
      <c r="K18" s="57"/>
      <c r="L18" s="57"/>
      <c r="M18" s="57"/>
      <c r="N18" s="57"/>
      <c r="O18" s="57"/>
    </row>
    <row r="19" spans="2:15" ht="15" customHeight="1" x14ac:dyDescent="0.35">
      <c r="B19" s="74" t="s">
        <v>45</v>
      </c>
      <c r="C19" s="74" t="s">
        <v>5</v>
      </c>
      <c r="D19" s="80">
        <v>0.77519965333333329</v>
      </c>
      <c r="E19" s="80">
        <v>0.9043512199999999</v>
      </c>
      <c r="F19" s="80">
        <v>0.52632599999999996</v>
      </c>
      <c r="G19" s="80">
        <v>0.69735400000000003</v>
      </c>
      <c r="H19" s="80">
        <v>0.31285799999999997</v>
      </c>
      <c r="J19" s="26"/>
    </row>
    <row r="20" spans="2:15" ht="15" customHeight="1" x14ac:dyDescent="0.35">
      <c r="B20" s="74" t="s">
        <v>52</v>
      </c>
      <c r="C20" s="74" t="s">
        <v>5</v>
      </c>
      <c r="D20" s="80">
        <v>6.3592037126717393</v>
      </c>
      <c r="E20" s="80">
        <v>7.0442760764786172</v>
      </c>
      <c r="F20" s="80">
        <v>6.4664929999999998</v>
      </c>
      <c r="G20" s="80">
        <v>4.4576180000000001</v>
      </c>
      <c r="H20" s="80">
        <v>2.8829340000000001</v>
      </c>
      <c r="J20" s="26"/>
    </row>
    <row r="21" spans="2:15" ht="15" customHeight="1" x14ac:dyDescent="0.35">
      <c r="B21" s="45" t="s">
        <v>17</v>
      </c>
      <c r="C21" s="45" t="s">
        <v>5</v>
      </c>
      <c r="D21" s="78">
        <f>SUM(D16,D17,D19,D18,D20)</f>
        <v>22.736477612395387</v>
      </c>
      <c r="E21" s="78">
        <f t="shared" ref="E21:H21" si="0">SUM(E16,E17,E19,E18,E20)</f>
        <v>23.093224569266027</v>
      </c>
      <c r="F21" s="78">
        <f t="shared" si="0"/>
        <v>21.084311999999997</v>
      </c>
      <c r="G21" s="78">
        <f t="shared" si="0"/>
        <v>18.285099000000002</v>
      </c>
      <c r="H21" s="78">
        <f t="shared" si="0"/>
        <v>15.984523000000001</v>
      </c>
      <c r="J21" s="26"/>
    </row>
    <row r="22" spans="2:15" ht="15" customHeight="1" x14ac:dyDescent="0.35">
      <c r="B22" s="52" t="s">
        <v>79</v>
      </c>
      <c r="C22" s="9"/>
      <c r="D22" s="77"/>
      <c r="E22" s="77"/>
      <c r="F22" s="77"/>
      <c r="G22" s="77"/>
      <c r="H22" s="77"/>
      <c r="J22" s="26"/>
    </row>
    <row r="23" spans="2:15" ht="15" customHeight="1" x14ac:dyDescent="0.35">
      <c r="J23" s="26"/>
    </row>
    <row r="24" spans="2:15" ht="15" customHeight="1" x14ac:dyDescent="0.35">
      <c r="D24" s="24"/>
      <c r="E24" s="24"/>
      <c r="F24" s="24"/>
      <c r="G24" s="24"/>
      <c r="H24" s="24"/>
    </row>
    <row r="25" spans="2:15" ht="24.95" customHeight="1" thickBot="1" x14ac:dyDescent="0.65">
      <c r="B25" s="2" t="s">
        <v>28</v>
      </c>
      <c r="C25" s="2"/>
      <c r="D25" s="34"/>
      <c r="E25" s="34"/>
      <c r="F25" s="34"/>
      <c r="G25" s="34"/>
      <c r="H25" s="34"/>
    </row>
    <row r="26" spans="2:15" ht="15" customHeight="1" thickTop="1" x14ac:dyDescent="0.35">
      <c r="B26" s="81" t="s">
        <v>70</v>
      </c>
      <c r="C26" s="82" t="s">
        <v>5</v>
      </c>
      <c r="D26" s="82"/>
      <c r="E26" s="83">
        <v>9.3946169645395763</v>
      </c>
      <c r="F26" s="83">
        <v>9.99716885854731</v>
      </c>
      <c r="G26" s="83">
        <v>10.143127523882095</v>
      </c>
      <c r="H26" s="83">
        <v>10.291217185730776</v>
      </c>
      <c r="I26" s="92">
        <v>10.44146895664244</v>
      </c>
    </row>
    <row r="27" spans="2:15" ht="15" customHeight="1" x14ac:dyDescent="0.35">
      <c r="B27" s="84" t="s">
        <v>49</v>
      </c>
      <c r="C27" s="85" t="s">
        <v>5</v>
      </c>
      <c r="D27" s="85"/>
      <c r="E27" s="86">
        <v>0.43491222863526363</v>
      </c>
      <c r="F27" s="86">
        <v>0.39659428574306632</v>
      </c>
      <c r="G27" s="86">
        <v>0.8199267002834274</v>
      </c>
      <c r="H27" s="86">
        <v>0.36644631992442839</v>
      </c>
      <c r="I27" s="86">
        <v>3.5025944751327871E-2</v>
      </c>
    </row>
    <row r="28" spans="2:15" ht="15" customHeight="1" x14ac:dyDescent="0.35">
      <c r="B28" s="84" t="s">
        <v>72</v>
      </c>
      <c r="C28" s="85" t="s">
        <v>5</v>
      </c>
      <c r="D28" s="85"/>
      <c r="E28" s="86">
        <v>3.1383668769781838</v>
      </c>
      <c r="F28" s="86">
        <v>3.2241200628108402</v>
      </c>
      <c r="G28" s="86">
        <v>3.2744338732491038</v>
      </c>
      <c r="H28" s="86">
        <v>3.3222406077985385</v>
      </c>
      <c r="I28" s="86">
        <v>3.3706138985365186</v>
      </c>
    </row>
    <row r="29" spans="2:15" ht="15" customHeight="1" x14ac:dyDescent="0.35">
      <c r="B29" s="84" t="s">
        <v>71</v>
      </c>
      <c r="C29" s="85" t="s">
        <v>5</v>
      </c>
      <c r="D29" s="85"/>
      <c r="E29" s="86">
        <v>2.3207434804168834</v>
      </c>
      <c r="F29" s="86">
        <v>2.098633898405819</v>
      </c>
      <c r="G29" s="86">
        <v>1.8608579436695944</v>
      </c>
      <c r="H29" s="86">
        <v>2.1343849619885029</v>
      </c>
      <c r="I29" s="86">
        <v>2.7253100168414002</v>
      </c>
    </row>
    <row r="30" spans="2:15" ht="15" customHeight="1" x14ac:dyDescent="0.35">
      <c r="B30" s="84" t="s">
        <v>52</v>
      </c>
      <c r="C30" s="85" t="s">
        <v>5</v>
      </c>
      <c r="D30" s="85"/>
      <c r="E30" s="86">
        <v>3.9212676070553099</v>
      </c>
      <c r="F30" s="86">
        <v>3.9785181141183155</v>
      </c>
      <c r="G30" s="86">
        <v>4.0366044785844419</v>
      </c>
      <c r="H30" s="86">
        <v>4.0955389039717733</v>
      </c>
      <c r="I30" s="86">
        <v>4.1553337719697616</v>
      </c>
    </row>
    <row r="31" spans="2:15" ht="15" customHeight="1" x14ac:dyDescent="0.35">
      <c r="B31" s="87" t="s">
        <v>17</v>
      </c>
      <c r="C31" s="87" t="str">
        <f>C30</f>
        <v>$m nominal</v>
      </c>
      <c r="D31" s="88"/>
      <c r="E31" s="89">
        <v>19.209907157625217</v>
      </c>
      <c r="F31" s="89">
        <v>19.69503521962535</v>
      </c>
      <c r="G31" s="89">
        <v>20.134950519668664</v>
      </c>
      <c r="H31" s="89">
        <v>20.209827979414015</v>
      </c>
      <c r="I31" s="89">
        <v>20.727752588741449</v>
      </c>
    </row>
    <row r="32" spans="2:15" ht="15" customHeight="1" x14ac:dyDescent="0.35">
      <c r="B32" s="9" t="s">
        <v>108</v>
      </c>
      <c r="C32" s="9"/>
      <c r="D32" s="96"/>
    </row>
    <row r="33" spans="2:8" ht="15" customHeight="1" x14ac:dyDescent="0.35"/>
    <row r="34" spans="2:8" ht="15" customHeight="1" x14ac:dyDescent="0.35"/>
    <row r="35" spans="2:8" ht="24.95" customHeight="1" thickBot="1" x14ac:dyDescent="0.65">
      <c r="B35" s="2" t="s">
        <v>18</v>
      </c>
      <c r="C35" s="2"/>
      <c r="D35" s="2"/>
      <c r="E35" s="2"/>
      <c r="F35" s="2"/>
      <c r="G35" s="2"/>
      <c r="H35" s="2"/>
    </row>
    <row r="36" spans="2:8" ht="15" customHeight="1" thickTop="1" x14ac:dyDescent="0.35">
      <c r="B36" s="79" t="s">
        <v>98</v>
      </c>
      <c r="C36" s="75" t="s">
        <v>1</v>
      </c>
      <c r="D36" s="84"/>
      <c r="E36" s="152"/>
      <c r="F36" s="152"/>
      <c r="G36" s="152"/>
      <c r="H36" s="153">
        <v>12459301.26125998</v>
      </c>
    </row>
    <row r="37" spans="2:8" ht="15" customHeight="1" x14ac:dyDescent="0.35">
      <c r="B37" s="148" t="s">
        <v>99</v>
      </c>
      <c r="C37" s="75" t="s">
        <v>1</v>
      </c>
      <c r="D37" s="149"/>
      <c r="E37" s="150"/>
      <c r="F37" s="150"/>
      <c r="G37" s="150"/>
      <c r="H37" s="151">
        <f>H38-H36</f>
        <v>10428530.868740018</v>
      </c>
    </row>
    <row r="38" spans="2:8" ht="15" customHeight="1" x14ac:dyDescent="0.35">
      <c r="B38" s="45" t="s">
        <v>103</v>
      </c>
      <c r="C38" s="7" t="s">
        <v>1</v>
      </c>
      <c r="D38" s="88"/>
      <c r="E38" s="154">
        <f>SUM(E36:E37)</f>
        <v>0</v>
      </c>
      <c r="F38" s="154">
        <f t="shared" ref="F38:G38" si="1">SUM(F36:F37)</f>
        <v>0</v>
      </c>
      <c r="G38" s="154">
        <f t="shared" si="1"/>
        <v>0</v>
      </c>
      <c r="H38" s="154">
        <v>22887832.129999999</v>
      </c>
    </row>
    <row r="39" spans="2:8" ht="15" customHeight="1" x14ac:dyDescent="0.35">
      <c r="B39" s="45" t="s">
        <v>102</v>
      </c>
      <c r="C39" s="7"/>
      <c r="D39" s="88"/>
      <c r="E39" s="155"/>
      <c r="F39" s="155"/>
      <c r="G39" s="155"/>
      <c r="H39" s="155">
        <f>H36/H38</f>
        <v>0.54436353738059251</v>
      </c>
    </row>
    <row r="40" spans="2:8" x14ac:dyDescent="0.35">
      <c r="B40" s="52" t="s">
        <v>80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M22"/>
  <sheetViews>
    <sheetView workbookViewId="0"/>
  </sheetViews>
  <sheetFormatPr defaultColWidth="14.1328125" defaultRowHeight="13.15" x14ac:dyDescent="0.35"/>
  <cols>
    <col min="1" max="1" width="2.73046875" style="5" customWidth="1"/>
    <col min="2" max="2" width="70.73046875" style="5" customWidth="1"/>
    <col min="3" max="16" width="15.73046875" style="5" customWidth="1"/>
    <col min="17" max="16384" width="14.1328125" style="5"/>
  </cols>
  <sheetData>
    <row r="2" spans="1:897" s="1" customFormat="1" x14ac:dyDescent="0.35"/>
    <row r="3" spans="1:897" s="1" customFormat="1" x14ac:dyDescent="0.35"/>
    <row r="4" spans="1:897" s="1" customFormat="1" x14ac:dyDescent="0.35"/>
    <row r="5" spans="1:897" s="1" customFormat="1" x14ac:dyDescent="0.35"/>
    <row r="6" spans="1:897" s="1" customFormat="1" x14ac:dyDescent="0.35"/>
    <row r="7" spans="1:897" s="1" customFormat="1" x14ac:dyDescent="0.35"/>
    <row r="8" spans="1:897" s="1" customFormat="1" x14ac:dyDescent="0.35"/>
    <row r="9" spans="1:897" s="1" customFormat="1" x14ac:dyDescent="0.35"/>
    <row r="10" spans="1:897" s="1" customFormat="1" x14ac:dyDescent="0.35"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</row>
    <row r="11" spans="1:897" s="1" customFormat="1" x14ac:dyDescent="0.35"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</row>
    <row r="12" spans="1:897" s="1" customFormat="1" ht="13.5" thickBot="1" x14ac:dyDescent="0.4"/>
    <row r="13" spans="1:897" s="4" customFormat="1" ht="24.75" customHeight="1" thickTop="1" thickBot="1" x14ac:dyDescent="0.75">
      <c r="B13" s="11" t="str">
        <f ca="1">RIGHT(CELL("filename",B2),LEN(CELL("filename",B2))-FIND("]",CELL("filename",B2)))</f>
        <v>Input│ Other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</row>
    <row r="14" spans="1:897" s="4" customFormat="1" ht="15" customHeight="1" thickTop="1" x14ac:dyDescent="0.7">
      <c r="A14" s="1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</row>
    <row r="15" spans="1:897" ht="24.95" customHeight="1" thickBot="1" x14ac:dyDescent="0.65">
      <c r="B15" s="2" t="s">
        <v>7</v>
      </c>
      <c r="C15" s="2" t="s">
        <v>0</v>
      </c>
      <c r="D15" s="3">
        <v>2013</v>
      </c>
      <c r="E15" s="3">
        <v>2014</v>
      </c>
      <c r="F15" s="27">
        <v>2015</v>
      </c>
      <c r="G15" s="27">
        <v>2016</v>
      </c>
      <c r="H15" s="27">
        <v>2017</v>
      </c>
      <c r="I15" s="27">
        <v>2018</v>
      </c>
      <c r="J15" s="27">
        <v>2019</v>
      </c>
      <c r="K15" s="27">
        <v>2020</v>
      </c>
      <c r="L15" s="163">
        <v>2021</v>
      </c>
      <c r="M15" s="163">
        <v>2022</v>
      </c>
      <c r="N15" s="163">
        <v>2023</v>
      </c>
      <c r="O15" s="163">
        <v>2024</v>
      </c>
      <c r="P15" s="163">
        <v>2025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</row>
    <row r="16" spans="1:897" ht="15" customHeight="1" thickTop="1" x14ac:dyDescent="0.35">
      <c r="B16" s="6" t="s">
        <v>8</v>
      </c>
      <c r="C16" s="6" t="s">
        <v>8</v>
      </c>
      <c r="D16" s="13">
        <v>41609</v>
      </c>
      <c r="E16" s="13">
        <f t="shared" ref="E16:K16" si="0">DATE(YEAR(D16)+1,MONTH(D16),DAY(D16))</f>
        <v>41974</v>
      </c>
      <c r="F16" s="13">
        <f t="shared" si="0"/>
        <v>42339</v>
      </c>
      <c r="G16" s="13">
        <f t="shared" si="0"/>
        <v>42705</v>
      </c>
      <c r="H16" s="13">
        <f t="shared" si="0"/>
        <v>43070</v>
      </c>
      <c r="I16" s="13">
        <f t="shared" si="0"/>
        <v>43435</v>
      </c>
      <c r="J16" s="13">
        <f t="shared" si="0"/>
        <v>43800</v>
      </c>
      <c r="K16" s="13">
        <f t="shared" si="0"/>
        <v>44166</v>
      </c>
      <c r="L16" s="13">
        <f t="shared" ref="L16:P16" si="1">DATE(YEAR(K16)+1,MONTH(K16),DAY(K16))</f>
        <v>44531</v>
      </c>
      <c r="M16" s="13">
        <f t="shared" si="1"/>
        <v>44896</v>
      </c>
      <c r="N16" s="13">
        <f t="shared" si="1"/>
        <v>45261</v>
      </c>
      <c r="O16" s="13">
        <f t="shared" si="1"/>
        <v>45627</v>
      </c>
      <c r="P16" s="13">
        <f t="shared" si="1"/>
        <v>45992</v>
      </c>
    </row>
    <row r="17" spans="2:16" ht="15" customHeight="1" x14ac:dyDescent="0.35">
      <c r="B17" s="6" t="s">
        <v>9</v>
      </c>
      <c r="C17" s="6" t="s">
        <v>10</v>
      </c>
      <c r="D17" s="14">
        <v>104.8</v>
      </c>
      <c r="E17" s="14">
        <v>106.6</v>
      </c>
      <c r="F17" s="14">
        <v>108.4</v>
      </c>
      <c r="G17" s="14">
        <v>110</v>
      </c>
      <c r="H17" s="14">
        <v>112.1</v>
      </c>
      <c r="I17" s="15">
        <f>H17*(1+'Input│ Forecast'!D16)</f>
        <v>114.19626999999998</v>
      </c>
      <c r="J17" s="15">
        <f>I17*(1+'Input│ Forecast'!E16)</f>
        <v>116.33174024899998</v>
      </c>
      <c r="K17" s="15">
        <f>J17*(1+'Input│ Forecast'!F16)</f>
        <v>118.50714379165628</v>
      </c>
      <c r="L17" s="15">
        <f>K17*(1+'Input│ Forecast'!G16)</f>
        <v>120.72322738056025</v>
      </c>
      <c r="M17" s="15">
        <f>L17*(1+'Input│ Forecast'!H16)</f>
        <v>122.98075173257672</v>
      </c>
      <c r="N17" s="15">
        <f>M17*(1+'Input│ Forecast'!I16)</f>
        <v>125.2804917899759</v>
      </c>
      <c r="O17" s="15">
        <f>N17*(1+'Input│ Forecast'!J16)</f>
        <v>127.62323698644843</v>
      </c>
      <c r="P17" s="15">
        <f>O17*(1+'Input│ Forecast'!J16)</f>
        <v>130.009791518095</v>
      </c>
    </row>
    <row r="18" spans="2:16" ht="15" customHeight="1" x14ac:dyDescent="0.35">
      <c r="B18" s="9" t="s">
        <v>11</v>
      </c>
    </row>
    <row r="19" spans="2:16" ht="15" customHeight="1" x14ac:dyDescent="0.35">
      <c r="B19" s="7" t="str">
        <f>"Inflation Index (base "&amp;I15&amp;")"</f>
        <v>Inflation Index (base 2018)</v>
      </c>
      <c r="C19" s="7" t="s">
        <v>10</v>
      </c>
      <c r="D19" s="15">
        <f>D17/$I$17</f>
        <v>0.9177182407096135</v>
      </c>
      <c r="E19" s="15">
        <f>E17/$I$17</f>
        <v>0.93348057690500752</v>
      </c>
      <c r="F19" s="15">
        <f>F17/$I$17</f>
        <v>0.94924291310040176</v>
      </c>
      <c r="G19" s="15">
        <f>G17/$I$17</f>
        <v>0.96325387860741873</v>
      </c>
      <c r="H19" s="15">
        <f>H17/$I$17</f>
        <v>0.9816432708353785</v>
      </c>
      <c r="I19" s="14">
        <v>1</v>
      </c>
      <c r="J19" s="15">
        <f>J17/$I$17</f>
        <v>1.0186999999999999</v>
      </c>
      <c r="K19" s="15">
        <f>K17/$I$17</f>
        <v>1.0377496899999998</v>
      </c>
      <c r="L19" s="15">
        <f t="shared" ref="L19:P19" si="2">L17/$I$17</f>
        <v>1.0571556092029999</v>
      </c>
      <c r="M19" s="15">
        <f t="shared" si="2"/>
        <v>1.076924419095096</v>
      </c>
      <c r="N19" s="15">
        <f t="shared" si="2"/>
        <v>1.0970629057321741</v>
      </c>
      <c r="O19" s="15">
        <f t="shared" si="2"/>
        <v>1.1175779820693656</v>
      </c>
      <c r="P19" s="15">
        <f t="shared" si="2"/>
        <v>1.1384766903340626</v>
      </c>
    </row>
    <row r="20" spans="2:16" ht="15" customHeight="1" x14ac:dyDescent="0.35">
      <c r="B20" s="7" t="str">
        <f>"Inflation Index (base "&amp;F15&amp;")"</f>
        <v>Inflation Index (base 2015)</v>
      </c>
      <c r="C20" s="7" t="s">
        <v>10</v>
      </c>
      <c r="D20" s="15">
        <f>D17/$F$17</f>
        <v>0.96678966789667886</v>
      </c>
      <c r="E20" s="15">
        <f>E17/$F$17</f>
        <v>0.98339483394833938</v>
      </c>
      <c r="F20" s="14">
        <v>1</v>
      </c>
      <c r="G20" s="15">
        <f>G17/$F$17</f>
        <v>1.014760147601476</v>
      </c>
      <c r="H20" s="15">
        <f>H17/$F$17</f>
        <v>1.0341328413284132</v>
      </c>
      <c r="I20" s="15">
        <f>I17/$F$17</f>
        <v>1.0534711254612543</v>
      </c>
      <c r="J20" s="15">
        <f>J17/$F$17</f>
        <v>1.0731710355073798</v>
      </c>
      <c r="K20" s="15">
        <f>K17/$F$17</f>
        <v>1.0932393338713677</v>
      </c>
      <c r="L20" s="15">
        <f t="shared" ref="L20:P20" si="3">L17/$F$17</f>
        <v>1.1136829094147624</v>
      </c>
      <c r="M20" s="15">
        <f t="shared" si="3"/>
        <v>1.1345087798208184</v>
      </c>
      <c r="N20" s="15">
        <f t="shared" si="3"/>
        <v>1.1557240940034677</v>
      </c>
      <c r="O20" s="15">
        <f t="shared" si="3"/>
        <v>1.1773361345613322</v>
      </c>
      <c r="P20" s="15">
        <f t="shared" si="3"/>
        <v>1.1993523202776291</v>
      </c>
    </row>
    <row r="21" spans="2:16" ht="15" customHeight="1" x14ac:dyDescent="0.35">
      <c r="B21" s="7" t="s">
        <v>30</v>
      </c>
      <c r="C21" s="7" t="s">
        <v>6</v>
      </c>
      <c r="D21" s="26"/>
      <c r="E21" s="26"/>
      <c r="F21" s="26"/>
      <c r="G21" s="23">
        <v>1.46E-2</v>
      </c>
      <c r="H21" s="23">
        <f>G21</f>
        <v>1.46E-2</v>
      </c>
      <c r="I21" s="23">
        <f t="shared" ref="I21:K21" si="4">H21</f>
        <v>1.46E-2</v>
      </c>
      <c r="J21" s="23">
        <f t="shared" si="4"/>
        <v>1.46E-2</v>
      </c>
      <c r="K21" s="23">
        <f t="shared" si="4"/>
        <v>1.46E-2</v>
      </c>
    </row>
    <row r="22" spans="2:16" ht="15" customHeight="1" x14ac:dyDescent="0.35">
      <c r="B22" s="7" t="s">
        <v>61</v>
      </c>
      <c r="C22" s="7" t="s">
        <v>10</v>
      </c>
      <c r="D22" s="7"/>
      <c r="E22" s="7"/>
      <c r="F22" s="14">
        <v>1</v>
      </c>
      <c r="G22" s="15">
        <f>F22*(1+G21)</f>
        <v>1.0145999999999999</v>
      </c>
      <c r="H22" s="15">
        <f>G22*(1+H21)</f>
        <v>1.0294131599999998</v>
      </c>
      <c r="I22" s="15">
        <f>H22*(1+I21)</f>
        <v>1.0444425921359997</v>
      </c>
      <c r="J22" s="15">
        <f>I22*(1+J21)</f>
        <v>1.0596914539811852</v>
      </c>
      <c r="K22" s="15">
        <f>J22*(1+K21)</f>
        <v>1.0751629492093104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zoomScaleNormal="100" workbookViewId="0"/>
  </sheetViews>
  <sheetFormatPr defaultRowHeight="13.15" x14ac:dyDescent="0.35"/>
  <cols>
    <col min="1" max="1" width="2.73046875" style="26" customWidth="1"/>
    <col min="2" max="2" width="70.73046875" customWidth="1"/>
    <col min="3" max="10" width="15.73046875" customWidth="1"/>
  </cols>
  <sheetData>
    <row r="1" spans="1:11" s="26" customFormat="1" x14ac:dyDescent="0.35"/>
    <row r="2" spans="1:11" s="22" customFormat="1" x14ac:dyDescent="0.35">
      <c r="A2" s="26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s="22" customFormat="1" x14ac:dyDescent="0.35">
      <c r="A3" s="26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22" customFormat="1" x14ac:dyDescent="0.35">
      <c r="A4" s="26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s="22" customFormat="1" x14ac:dyDescent="0.35">
      <c r="A5" s="26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22" customFormat="1" x14ac:dyDescent="0.35">
      <c r="A6" s="26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s="22" customFormat="1" x14ac:dyDescent="0.35">
      <c r="A7" s="26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5"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5"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s="26" customFormat="1" x14ac:dyDescent="0.3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s="26" customFormat="1" x14ac:dyDescent="0.3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s="22" customFormat="1" ht="13.5" thickBot="1" x14ac:dyDescent="0.4">
      <c r="A12" s="26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2" customFormat="1" ht="24" thickTop="1" thickBot="1" x14ac:dyDescent="0.75">
      <c r="A13" s="26"/>
      <c r="B13" s="11" t="str">
        <f ca="1">RIGHT(CELL("filename",B2),LEN(CELL("filename",B2))-FIND("]",CELL("filename",B2)))</f>
        <v>Input│ Forecast</v>
      </c>
      <c r="C13" s="11"/>
      <c r="D13" s="11"/>
      <c r="E13" s="11"/>
      <c r="F13" s="11"/>
      <c r="G13" s="11"/>
      <c r="H13" s="11"/>
      <c r="I13" s="11"/>
      <c r="J13" s="11"/>
      <c r="K13" s="28"/>
    </row>
    <row r="14" spans="1:11" s="26" customFormat="1" ht="15" customHeight="1" thickTop="1" x14ac:dyDescent="0.7">
      <c r="B14" s="93"/>
      <c r="C14" s="93"/>
      <c r="D14" s="93"/>
      <c r="E14" s="93"/>
      <c r="F14" s="93"/>
      <c r="G14" s="93"/>
      <c r="H14" s="93"/>
      <c r="I14" s="93"/>
      <c r="J14" s="93"/>
      <c r="K14" s="28"/>
    </row>
    <row r="15" spans="1:11" s="22" customFormat="1" ht="24.95" customHeight="1" thickBot="1" x14ac:dyDescent="0.65">
      <c r="A15" s="26"/>
      <c r="B15" s="2" t="s">
        <v>19</v>
      </c>
      <c r="C15" s="2"/>
      <c r="D15" s="2">
        <f>'Input│ Historic Opex'!H15+1</f>
        <v>2018</v>
      </c>
      <c r="E15" s="2">
        <f>D15+1</f>
        <v>2019</v>
      </c>
      <c r="F15" s="2">
        <f t="shared" ref="F15:J15" si="0">E15+1</f>
        <v>2020</v>
      </c>
      <c r="G15" s="2">
        <f t="shared" si="0"/>
        <v>2021</v>
      </c>
      <c r="H15" s="2">
        <f t="shared" si="0"/>
        <v>2022</v>
      </c>
      <c r="I15" s="2">
        <f t="shared" si="0"/>
        <v>2023</v>
      </c>
      <c r="J15" s="2">
        <f t="shared" si="0"/>
        <v>2024</v>
      </c>
      <c r="K15" s="28"/>
    </row>
    <row r="16" spans="1:11" s="22" customFormat="1" ht="15" customHeight="1" thickTop="1" x14ac:dyDescent="0.35">
      <c r="A16" s="26"/>
      <c r="B16" s="6" t="s">
        <v>20</v>
      </c>
      <c r="D16" s="23">
        <v>1.8700000000000001E-2</v>
      </c>
      <c r="E16" s="33">
        <f>D16</f>
        <v>1.8700000000000001E-2</v>
      </c>
      <c r="F16" s="33">
        <f t="shared" ref="F16:J16" si="1">E16</f>
        <v>1.8700000000000001E-2</v>
      </c>
      <c r="G16" s="33">
        <f t="shared" si="1"/>
        <v>1.8700000000000001E-2</v>
      </c>
      <c r="H16" s="33">
        <f t="shared" si="1"/>
        <v>1.8700000000000001E-2</v>
      </c>
      <c r="I16" s="33">
        <f t="shared" si="1"/>
        <v>1.8700000000000001E-2</v>
      </c>
      <c r="J16" s="33">
        <f t="shared" si="1"/>
        <v>1.8700000000000001E-2</v>
      </c>
      <c r="K16" s="28"/>
    </row>
    <row r="17" spans="1:23" s="22" customFormat="1" ht="15" customHeight="1" x14ac:dyDescent="0.35">
      <c r="A17" s="26"/>
      <c r="B17" s="45" t="s">
        <v>21</v>
      </c>
      <c r="D17" s="15">
        <f>1*(1+D16)</f>
        <v>1.0186999999999999</v>
      </c>
      <c r="E17" s="15">
        <f>D17*(1+E16)</f>
        <v>1.0377496899999998</v>
      </c>
      <c r="F17" s="15">
        <f t="shared" ref="F17:J17" si="2">E17*(1+F16)</f>
        <v>1.0571556092029997</v>
      </c>
      <c r="G17" s="15">
        <f t="shared" si="2"/>
        <v>1.0769244190950957</v>
      </c>
      <c r="H17" s="15">
        <f t="shared" si="2"/>
        <v>1.0970629057321739</v>
      </c>
      <c r="I17" s="15">
        <f t="shared" si="2"/>
        <v>1.1175779820693654</v>
      </c>
      <c r="J17" s="15">
        <f t="shared" si="2"/>
        <v>1.1384766903340624</v>
      </c>
      <c r="K17" s="28"/>
    </row>
    <row r="18" spans="1:23" ht="15" customHeight="1" x14ac:dyDescent="0.35">
      <c r="B18" s="22"/>
      <c r="C18" s="22"/>
      <c r="D18" s="22"/>
      <c r="E18" s="22"/>
      <c r="F18" s="22"/>
      <c r="G18" s="22"/>
      <c r="H18" s="22"/>
      <c r="I18" s="22"/>
      <c r="J18" s="16"/>
      <c r="K18" s="22"/>
    </row>
    <row r="19" spans="1:23" s="5" customFormat="1" ht="15" customHeight="1" x14ac:dyDescent="0.35">
      <c r="B19"/>
      <c r="C19"/>
      <c r="D19"/>
      <c r="E19"/>
      <c r="F19"/>
      <c r="G19"/>
      <c r="H19"/>
      <c r="I19"/>
      <c r="J19" s="16"/>
      <c r="K19"/>
    </row>
    <row r="20" spans="1:23" s="5" customFormat="1" ht="24.95" customHeight="1" thickBot="1" x14ac:dyDescent="0.65">
      <c r="B20" s="2" t="s">
        <v>29</v>
      </c>
      <c r="C20" s="2"/>
      <c r="D20" s="2"/>
      <c r="E20" s="2"/>
      <c r="F20" s="2"/>
      <c r="G20" s="2"/>
      <c r="H20" s="2"/>
      <c r="I20" s="2"/>
      <c r="J20" s="2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s="5" customFormat="1" ht="15" customHeight="1" thickTop="1" x14ac:dyDescent="0.35">
      <c r="B21" s="101" t="s">
        <v>62</v>
      </c>
      <c r="C21" s="101" t="s">
        <v>42</v>
      </c>
      <c r="D21" s="101"/>
      <c r="E21" s="101"/>
      <c r="F21" s="102">
        <v>0.2</v>
      </c>
      <c r="G21" s="102">
        <v>0.2</v>
      </c>
      <c r="H21" s="102">
        <v>0.2</v>
      </c>
      <c r="I21" s="102">
        <v>0.2</v>
      </c>
      <c r="J21" s="102">
        <v>0.2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s="5" customFormat="1" ht="15" customHeight="1" x14ac:dyDescent="0.35">
      <c r="B22" s="103" t="s">
        <v>63</v>
      </c>
      <c r="C22" s="103" t="s">
        <v>42</v>
      </c>
      <c r="D22" s="103"/>
      <c r="E22" s="103"/>
      <c r="F22" s="104">
        <v>0.08</v>
      </c>
      <c r="G22" s="104">
        <v>0.08</v>
      </c>
      <c r="H22" s="104">
        <v>0.08</v>
      </c>
      <c r="I22" s="104">
        <v>0.08</v>
      </c>
      <c r="J22" s="104">
        <v>0.08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s="5" customFormat="1" ht="15" customHeight="1" x14ac:dyDescent="0.35">
      <c r="B23" s="103" t="s">
        <v>64</v>
      </c>
      <c r="C23" s="103" t="s">
        <v>42</v>
      </c>
      <c r="D23" s="103"/>
      <c r="E23" s="103"/>
      <c r="F23" s="104">
        <v>0</v>
      </c>
      <c r="G23" s="104">
        <v>0</v>
      </c>
      <c r="H23" s="104">
        <v>5.5E-2</v>
      </c>
      <c r="I23" s="104">
        <v>0</v>
      </c>
      <c r="J23" s="104">
        <v>0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s="5" customFormat="1" ht="15" customHeight="1" x14ac:dyDescent="0.35">
      <c r="B24" s="103" t="s">
        <v>65</v>
      </c>
      <c r="C24" s="103" t="s">
        <v>42</v>
      </c>
      <c r="D24" s="103"/>
      <c r="E24" s="103"/>
      <c r="F24" s="104">
        <v>5.5E-2</v>
      </c>
      <c r="G24" s="104">
        <v>0</v>
      </c>
      <c r="H24" s="104">
        <v>0</v>
      </c>
      <c r="I24" s="104">
        <v>0</v>
      </c>
      <c r="J24" s="104">
        <v>0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5" customFormat="1" ht="15" customHeight="1" x14ac:dyDescent="0.35">
      <c r="B25" s="103" t="s">
        <v>66</v>
      </c>
      <c r="C25" s="103" t="s">
        <v>42</v>
      </c>
      <c r="D25" s="103"/>
      <c r="E25" s="103"/>
      <c r="F25" s="104">
        <v>0</v>
      </c>
      <c r="G25" s="104">
        <v>0</v>
      </c>
      <c r="H25" s="104">
        <v>7.4999999999999997E-2</v>
      </c>
      <c r="I25" s="104">
        <v>0.05</v>
      </c>
      <c r="J25" s="104">
        <v>0.15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s="5" customFormat="1" ht="15" customHeight="1" x14ac:dyDescent="0.35">
      <c r="B26" s="103" t="s">
        <v>67</v>
      </c>
      <c r="C26" s="103" t="s">
        <v>42</v>
      </c>
      <c r="D26" s="103"/>
      <c r="E26" s="103"/>
      <c r="F26" s="104">
        <v>0</v>
      </c>
      <c r="G26" s="104">
        <v>0</v>
      </c>
      <c r="H26" s="104">
        <v>3.5000000000000003E-2</v>
      </c>
      <c r="I26" s="104">
        <v>7.0000000000000007E-2</v>
      </c>
      <c r="J26" s="104">
        <v>7.0000000000000007E-2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s="5" customFormat="1" ht="15" customHeight="1" x14ac:dyDescent="0.35">
      <c r="B27" s="103" t="s">
        <v>68</v>
      </c>
      <c r="C27" s="103" t="s">
        <v>42</v>
      </c>
      <c r="D27" s="103"/>
      <c r="E27" s="103"/>
      <c r="F27" s="104">
        <v>0.17499999999999999</v>
      </c>
      <c r="G27" s="104">
        <v>0.3</v>
      </c>
      <c r="H27" s="104">
        <v>0.17499999999999999</v>
      </c>
      <c r="I27" s="104">
        <v>0</v>
      </c>
      <c r="J27" s="104">
        <v>0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s="5" customFormat="1" ht="15" customHeight="1" x14ac:dyDescent="0.35">
      <c r="B28" s="103" t="s">
        <v>69</v>
      </c>
      <c r="C28" s="103" t="s">
        <v>42</v>
      </c>
      <c r="D28" s="103"/>
      <c r="E28" s="103"/>
      <c r="F28" s="104">
        <v>0.05</v>
      </c>
      <c r="G28" s="104">
        <v>0.1</v>
      </c>
      <c r="H28" s="104">
        <v>0.05</v>
      </c>
      <c r="I28" s="104">
        <v>0</v>
      </c>
      <c r="J28" s="104">
        <v>0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 s="5" customFormat="1" ht="15" customHeight="1" x14ac:dyDescent="0.35">
      <c r="B29" s="97" t="s">
        <v>31</v>
      </c>
      <c r="C29" s="109" t="s">
        <v>42</v>
      </c>
      <c r="D29" s="98">
        <f>SUM('Input│ Historic Opex'!H27,'Input│ Forecast'!F29:G29)/4</f>
        <v>0.40161157998110708</v>
      </c>
      <c r="E29" s="99">
        <f>SUM(D29,'Input│ Historic Opex'!I27,'Input│ Forecast'!F29:G29)/4</f>
        <v>0.4191593811831088</v>
      </c>
      <c r="F29" s="100">
        <f>SUM(F21:F28)</f>
        <v>0.56000000000000005</v>
      </c>
      <c r="G29" s="100">
        <f t="shared" ref="G29:J29" si="3">SUM(G21:G28)</f>
        <v>0.68</v>
      </c>
      <c r="H29" s="100">
        <f t="shared" si="3"/>
        <v>0.67000000000000015</v>
      </c>
      <c r="I29" s="100">
        <f t="shared" si="3"/>
        <v>0.4</v>
      </c>
      <c r="J29" s="100">
        <f t="shared" si="3"/>
        <v>0.5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s="5" customFormat="1" ht="15" customHeight="1" x14ac:dyDescent="0.35">
      <c r="B30" s="96" t="s">
        <v>80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s="5" customFormat="1" ht="15" customHeight="1" x14ac:dyDescent="0.35">
      <c r="B31" s="9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s="5" customFormat="1" ht="15" customHeight="1" x14ac:dyDescent="0.35">
      <c r="B32" s="28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2:23" s="5" customFormat="1" ht="24.95" customHeight="1" thickBot="1" x14ac:dyDescent="0.65">
      <c r="B33" s="2" t="s">
        <v>45</v>
      </c>
      <c r="C33" s="2"/>
      <c r="D33" s="2"/>
      <c r="E33" s="2"/>
      <c r="F33" s="2"/>
      <c r="G33" s="2"/>
      <c r="H33" s="2"/>
      <c r="I33" s="2"/>
      <c r="J33" s="2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2:23" s="5" customFormat="1" ht="15" customHeight="1" thickTop="1" x14ac:dyDescent="0.35">
      <c r="B34" s="106" t="s">
        <v>45</v>
      </c>
      <c r="C34" s="106" t="str">
        <f>C39</f>
        <v>$ real 2018</v>
      </c>
      <c r="D34" s="107">
        <v>0.84353756053900009</v>
      </c>
      <c r="E34" s="107">
        <v>0.86459889013475011</v>
      </c>
      <c r="F34" s="107">
        <v>1.2110000000000001</v>
      </c>
      <c r="G34" s="107">
        <v>1.091</v>
      </c>
      <c r="H34" s="107">
        <v>1.091</v>
      </c>
      <c r="I34" s="107">
        <v>1.091</v>
      </c>
      <c r="J34" s="107">
        <v>1.091</v>
      </c>
      <c r="L34" s="26"/>
      <c r="M34" s="26"/>
      <c r="N34" s="26"/>
      <c r="O34" s="26"/>
    </row>
    <row r="35" spans="2:23" s="5" customFormat="1" ht="15" customHeight="1" x14ac:dyDescent="0.35">
      <c r="B35" s="105" t="s">
        <v>109</v>
      </c>
      <c r="C35" s="26"/>
      <c r="D35" s="26"/>
      <c r="E35" s="26"/>
      <c r="F35" s="26"/>
      <c r="G35" s="26"/>
      <c r="H35" s="26"/>
      <c r="I35" s="26"/>
      <c r="J35" s="26"/>
      <c r="L35" s="26"/>
      <c r="M35" s="26"/>
      <c r="N35" s="26"/>
      <c r="O35" s="26"/>
    </row>
    <row r="36" spans="2:23" s="5" customFormat="1" ht="15" customHeight="1" x14ac:dyDescent="0.35">
      <c r="L36" s="26"/>
      <c r="M36" s="26"/>
      <c r="N36" s="26"/>
      <c r="O36" s="26"/>
    </row>
    <row r="37" spans="2:23" s="5" customFormat="1" ht="15" customHeight="1" x14ac:dyDescent="0.35">
      <c r="L37" s="26"/>
      <c r="M37" s="26"/>
      <c r="N37" s="26"/>
      <c r="O37" s="26"/>
    </row>
    <row r="38" spans="2:23" s="5" customFormat="1" ht="24.95" customHeight="1" thickBot="1" x14ac:dyDescent="0.65">
      <c r="B38" s="2" t="s">
        <v>81</v>
      </c>
      <c r="C38" s="2"/>
      <c r="D38" s="2"/>
      <c r="E38" s="2"/>
      <c r="F38" s="2"/>
      <c r="G38" s="2"/>
      <c r="H38" s="2"/>
      <c r="I38" s="2"/>
      <c r="J38" s="2"/>
      <c r="L38" s="26"/>
      <c r="M38" s="26"/>
      <c r="N38" s="26"/>
      <c r="O38" s="26"/>
    </row>
    <row r="39" spans="2:23" s="5" customFormat="1" ht="15" customHeight="1" thickTop="1" x14ac:dyDescent="0.35">
      <c r="B39" s="74" t="s">
        <v>46</v>
      </c>
      <c r="C39" s="103" t="str">
        <f>C29</f>
        <v>$ real 2018</v>
      </c>
      <c r="D39" s="75">
        <f>(9622-747)*109/202/1000</f>
        <v>4.7889851485148514</v>
      </c>
      <c r="E39" s="75">
        <f t="shared" ref="E39:J39" si="4">(9622-747)*109/202/1000</f>
        <v>4.7889851485148514</v>
      </c>
      <c r="F39" s="75">
        <f t="shared" si="4"/>
        <v>4.7889851485148514</v>
      </c>
      <c r="G39" s="75">
        <f t="shared" si="4"/>
        <v>4.7889851485148514</v>
      </c>
      <c r="H39" s="75">
        <f t="shared" si="4"/>
        <v>4.7889851485148514</v>
      </c>
      <c r="I39" s="75">
        <f t="shared" si="4"/>
        <v>4.7889851485148514</v>
      </c>
      <c r="J39" s="75">
        <f t="shared" si="4"/>
        <v>4.7889851485148514</v>
      </c>
      <c r="L39" s="26"/>
      <c r="M39" s="26"/>
      <c r="N39" s="26"/>
      <c r="O39" s="26"/>
    </row>
    <row r="40" spans="2:23" s="5" customFormat="1" ht="15" customHeight="1" x14ac:dyDescent="0.35">
      <c r="B40" s="9" t="s">
        <v>107</v>
      </c>
      <c r="C40" s="26"/>
      <c r="D40" s="26"/>
      <c r="E40" s="26"/>
      <c r="F40" s="26"/>
      <c r="G40" s="26"/>
      <c r="H40" s="26"/>
      <c r="I40" s="26"/>
      <c r="J40" s="26"/>
      <c r="L40" s="26"/>
      <c r="M40" s="26"/>
      <c r="N40" s="26"/>
      <c r="O40" s="26"/>
    </row>
    <row r="41" spans="2:23" s="5" customFormat="1" ht="15" customHeight="1" x14ac:dyDescent="0.35">
      <c r="L41" s="26"/>
      <c r="M41" s="26"/>
    </row>
    <row r="42" spans="2:23" s="5" customFormat="1" ht="15" customHeight="1" x14ac:dyDescent="0.35">
      <c r="L42" s="26"/>
      <c r="M42" s="26"/>
    </row>
    <row r="43" spans="2:23" s="5" customFormat="1" ht="24.95" customHeight="1" thickBot="1" x14ac:dyDescent="0.65">
      <c r="B43" s="2" t="s">
        <v>2</v>
      </c>
      <c r="C43" s="2"/>
      <c r="D43" s="2"/>
      <c r="E43" s="2"/>
      <c r="F43" s="2"/>
      <c r="G43" s="2"/>
      <c r="H43" s="2"/>
      <c r="I43" s="2"/>
      <c r="J43" s="2"/>
      <c r="L43" s="26"/>
      <c r="M43" s="26"/>
    </row>
    <row r="44" spans="2:23" s="5" customFormat="1" ht="15" customHeight="1" thickTop="1" x14ac:dyDescent="0.35">
      <c r="B44" s="6"/>
      <c r="C44" s="6"/>
      <c r="D44" s="6"/>
      <c r="E44" s="6"/>
      <c r="F44" s="6"/>
      <c r="G44" s="6"/>
      <c r="H44" s="6"/>
      <c r="I44" s="6"/>
      <c r="J44" s="6"/>
    </row>
    <row r="45" spans="2:23" ht="15" customHeight="1" x14ac:dyDescent="0.35">
      <c r="B45" s="45" t="s">
        <v>3</v>
      </c>
      <c r="C45" s="7"/>
      <c r="D45" s="108">
        <f t="shared" ref="D45:J45" si="5">SUM(D44)</f>
        <v>0</v>
      </c>
      <c r="E45" s="108">
        <f t="shared" si="5"/>
        <v>0</v>
      </c>
      <c r="F45" s="108">
        <f t="shared" si="5"/>
        <v>0</v>
      </c>
      <c r="G45" s="108">
        <f t="shared" si="5"/>
        <v>0</v>
      </c>
      <c r="H45" s="108">
        <f t="shared" si="5"/>
        <v>0</v>
      </c>
      <c r="I45" s="108">
        <f t="shared" si="5"/>
        <v>0</v>
      </c>
      <c r="J45" s="108">
        <f t="shared" si="5"/>
        <v>0</v>
      </c>
      <c r="K45" s="5"/>
    </row>
    <row r="46" spans="2:23" ht="15" customHeight="1" x14ac:dyDescent="0.35">
      <c r="B46" s="16"/>
      <c r="C46" s="16"/>
      <c r="D46" s="16"/>
      <c r="E46" s="16"/>
      <c r="F46" s="16"/>
      <c r="G46" s="16"/>
      <c r="H46" s="16"/>
      <c r="I46" s="16"/>
      <c r="J46" s="16"/>
    </row>
    <row r="47" spans="2:23" s="26" customFormat="1" ht="15" customHeight="1" x14ac:dyDescent="0.35"/>
    <row r="48" spans="2:23" ht="24.95" customHeight="1" thickBot="1" x14ac:dyDescent="0.65">
      <c r="B48" s="2" t="s">
        <v>24</v>
      </c>
      <c r="C48" s="2"/>
      <c r="D48" s="2"/>
      <c r="E48" s="2"/>
      <c r="F48" s="2"/>
      <c r="G48" s="2"/>
      <c r="H48" s="2"/>
      <c r="I48" s="2"/>
      <c r="J48" s="2"/>
    </row>
    <row r="49" spans="2:11" ht="24.95" customHeight="1" thickTop="1" x14ac:dyDescent="0.35">
      <c r="B49" s="128" t="s">
        <v>106</v>
      </c>
      <c r="C49" s="129"/>
      <c r="D49" s="129"/>
      <c r="E49" s="129"/>
      <c r="F49" s="129"/>
      <c r="G49" s="129"/>
      <c r="H49" s="129"/>
      <c r="I49" s="129"/>
      <c r="J49" s="129"/>
    </row>
    <row r="50" spans="2:11" s="26" customFormat="1" ht="15" customHeight="1" x14ac:dyDescent="0.35">
      <c r="B50" s="126" t="s">
        <v>44</v>
      </c>
      <c r="C50" s="126"/>
      <c r="D50" s="127">
        <v>1.4999999999999999E-2</v>
      </c>
      <c r="E50" s="127">
        <v>1.7500000000000002E-2</v>
      </c>
      <c r="F50" s="127">
        <v>2.75E-2</v>
      </c>
      <c r="G50" s="127">
        <v>0.03</v>
      </c>
      <c r="H50" s="127">
        <v>3.2500000000000001E-2</v>
      </c>
    </row>
    <row r="51" spans="2:11" s="26" customFormat="1" ht="15" customHeight="1" x14ac:dyDescent="0.35">
      <c r="B51" s="120" t="s">
        <v>85</v>
      </c>
      <c r="C51" s="103"/>
      <c r="D51" s="121">
        <v>4.8165207882550406E-3</v>
      </c>
      <c r="E51" s="121">
        <v>4.8165207882550406E-3</v>
      </c>
      <c r="F51" s="121">
        <v>4.8165207882550406E-3</v>
      </c>
      <c r="G51" s="121">
        <v>4.8165207882550406E-3</v>
      </c>
      <c r="H51" s="121">
        <v>4.8165207882550406E-3</v>
      </c>
    </row>
    <row r="52" spans="2:11" s="26" customFormat="1" ht="15" customHeight="1" x14ac:dyDescent="0.35">
      <c r="B52" s="114" t="s">
        <v>86</v>
      </c>
      <c r="C52" s="110"/>
      <c r="D52" s="122">
        <f>D50+D51</f>
        <v>1.9816520788255042E-2</v>
      </c>
      <c r="E52" s="122">
        <f t="shared" ref="E52:H52" si="6">E50+E51</f>
        <v>2.2316520788255044E-2</v>
      </c>
      <c r="F52" s="122">
        <f t="shared" si="6"/>
        <v>3.2316520788255039E-2</v>
      </c>
      <c r="G52" s="122">
        <f t="shared" si="6"/>
        <v>3.4816520788255041E-2</v>
      </c>
      <c r="H52" s="122">
        <f t="shared" si="6"/>
        <v>3.7316520788255043E-2</v>
      </c>
    </row>
    <row r="53" spans="2:11" s="26" customFormat="1" ht="15" customHeight="1" x14ac:dyDescent="0.35">
      <c r="B53" s="111" t="s">
        <v>87</v>
      </c>
      <c r="C53" s="111"/>
      <c r="D53" s="123">
        <f>D16</f>
        <v>1.8700000000000001E-2</v>
      </c>
      <c r="E53" s="123">
        <f>E16</f>
        <v>1.8700000000000001E-2</v>
      </c>
      <c r="F53" s="123">
        <f>F16</f>
        <v>1.8700000000000001E-2</v>
      </c>
      <c r="G53" s="123">
        <f>G16</f>
        <v>1.8700000000000001E-2</v>
      </c>
      <c r="H53" s="123">
        <f>H16</f>
        <v>1.8700000000000001E-2</v>
      </c>
    </row>
    <row r="54" spans="2:11" s="26" customFormat="1" ht="15" customHeight="1" x14ac:dyDescent="0.35">
      <c r="B54" s="114" t="s">
        <v>88</v>
      </c>
      <c r="C54" s="110"/>
      <c r="D54" s="122">
        <f>D52-D53</f>
        <v>1.1165207882550404E-3</v>
      </c>
      <c r="E54" s="122">
        <f t="shared" ref="E54:H54" si="7">E52-E53</f>
        <v>3.6165207882550426E-3</v>
      </c>
      <c r="F54" s="122">
        <f t="shared" si="7"/>
        <v>1.3616520788255038E-2</v>
      </c>
      <c r="G54" s="122">
        <f t="shared" si="7"/>
        <v>1.611652078825504E-2</v>
      </c>
      <c r="H54" s="122">
        <f t="shared" si="7"/>
        <v>1.8616520788255042E-2</v>
      </c>
      <c r="I54" s="134"/>
      <c r="J54" s="135"/>
    </row>
    <row r="55" spans="2:11" s="26" customFormat="1" ht="15" customHeight="1" x14ac:dyDescent="0.35">
      <c r="B55" s="111" t="s">
        <v>43</v>
      </c>
      <c r="C55" s="111"/>
      <c r="D55" s="123">
        <f>D54</f>
        <v>1.1165207882550404E-3</v>
      </c>
      <c r="E55" s="123">
        <f>E54</f>
        <v>3.6165207882550426E-3</v>
      </c>
      <c r="F55" s="123">
        <f>F54</f>
        <v>1.3616520788255038E-2</v>
      </c>
      <c r="G55" s="123">
        <f>G54</f>
        <v>1.611652078825504E-2</v>
      </c>
      <c r="H55" s="130">
        <f>H54</f>
        <v>1.8616520788255042E-2</v>
      </c>
      <c r="I55" s="133">
        <f t="shared" ref="I55:J55" si="8">H55</f>
        <v>1.8616520788255042E-2</v>
      </c>
      <c r="J55" s="133">
        <f t="shared" si="8"/>
        <v>1.8616520788255042E-2</v>
      </c>
    </row>
    <row r="56" spans="2:11" ht="15" customHeight="1" x14ac:dyDescent="0.35">
      <c r="B56" s="72" t="s">
        <v>10</v>
      </c>
      <c r="C56" s="72"/>
      <c r="D56" s="124">
        <f>1*(1+D55)</f>
        <v>1.0011165207882551</v>
      </c>
      <c r="E56" s="124">
        <f t="shared" ref="E56:J56" si="9">D56*(1+E55)</f>
        <v>1.0047370794971513</v>
      </c>
      <c r="F56" s="124">
        <f t="shared" si="9"/>
        <v>1.0184181028268549</v>
      </c>
      <c r="G56" s="124">
        <f t="shared" si="9"/>
        <v>1.034831459352199</v>
      </c>
      <c r="H56" s="131">
        <f t="shared" si="9"/>
        <v>1.0540964207275694</v>
      </c>
      <c r="I56" s="132">
        <f t="shared" si="9"/>
        <v>1.0737200286568693</v>
      </c>
      <c r="J56" s="132">
        <f t="shared" si="9"/>
        <v>1.0937089598911256</v>
      </c>
      <c r="K56" s="26"/>
    </row>
    <row r="57" spans="2:11" ht="15" customHeight="1" x14ac:dyDescent="0.35">
      <c r="B57" s="125" t="s">
        <v>84</v>
      </c>
      <c r="C57" s="26"/>
      <c r="D57" s="26"/>
      <c r="E57" s="26"/>
      <c r="F57" s="26"/>
      <c r="G57" s="26"/>
      <c r="H57" s="26"/>
      <c r="I57" s="26"/>
      <c r="J57" s="26"/>
      <c r="K57" s="26"/>
    </row>
    <row r="58" spans="2:11" ht="15" customHeight="1" x14ac:dyDescent="0.35">
      <c r="K58" s="26"/>
    </row>
    <row r="59" spans="2:11" ht="15" customHeight="1" x14ac:dyDescent="0.35">
      <c r="D59" s="5"/>
      <c r="E59" s="5"/>
    </row>
    <row r="60" spans="2:11" s="5" customFormat="1" ht="24.95" customHeight="1" thickBot="1" x14ac:dyDescent="0.65">
      <c r="B60" s="2" t="s">
        <v>82</v>
      </c>
      <c r="C60" s="2"/>
      <c r="D60" s="112" t="s">
        <v>57</v>
      </c>
      <c r="E60" s="26"/>
      <c r="F60" s="26"/>
      <c r="G60" s="26"/>
    </row>
    <row r="61" spans="2:11" s="5" customFormat="1" ht="15" customHeight="1" thickTop="1" x14ac:dyDescent="0.35">
      <c r="B61" s="113" t="str">
        <f>'Input│ Historic Opex'!B16</f>
        <v>Pipeline operations</v>
      </c>
      <c r="C61" s="111" t="str">
        <f>'Input│ Historic Opex'!C16</f>
        <v>$m nominal</v>
      </c>
      <c r="D61" s="115">
        <f>'Input│ Historic Opex'!H16</f>
        <v>11.869661000000001</v>
      </c>
      <c r="E61" s="26"/>
      <c r="F61" s="26"/>
      <c r="G61" s="26"/>
    </row>
    <row r="62" spans="2:11" s="5" customFormat="1" ht="15" customHeight="1" x14ac:dyDescent="0.35">
      <c r="B62" s="111" t="str">
        <f>'Input│ Historic Opex'!B17</f>
        <v>Major expenditure jobs</v>
      </c>
      <c r="C62" s="111" t="str">
        <f>'Input│ Historic Opex'!C17</f>
        <v>$m nominal</v>
      </c>
      <c r="D62" s="115"/>
      <c r="E62" s="26"/>
      <c r="F62" s="26"/>
      <c r="G62" s="26"/>
    </row>
    <row r="63" spans="2:11" s="5" customFormat="1" ht="15" customHeight="1" x14ac:dyDescent="0.35">
      <c r="B63" s="111" t="str">
        <f>'Input│ Historic Opex'!B18</f>
        <v>Commercial operations</v>
      </c>
      <c r="C63" s="111" t="str">
        <f>'Input│ Historic Opex'!C18</f>
        <v>$m nominal</v>
      </c>
      <c r="D63" s="115">
        <f>'Input│ Historic Opex'!H18</f>
        <v>0.59691899999999998</v>
      </c>
      <c r="E63" s="26"/>
      <c r="F63" s="26"/>
      <c r="G63" s="26"/>
    </row>
    <row r="64" spans="2:11" s="5" customFormat="1" ht="15" customHeight="1" x14ac:dyDescent="0.35">
      <c r="B64" s="111" t="str">
        <f>'Input│ Historic Opex'!B19</f>
        <v>Regulatory</v>
      </c>
      <c r="C64" s="111" t="str">
        <f>'Input│ Historic Opex'!C19</f>
        <v>$m nominal</v>
      </c>
      <c r="D64" s="115"/>
      <c r="E64" s="26"/>
      <c r="F64" s="26"/>
      <c r="G64" s="26"/>
    </row>
    <row r="65" spans="2:9" s="5" customFormat="1" ht="15" customHeight="1" x14ac:dyDescent="0.35">
      <c r="B65" s="111" t="str">
        <f>'Input│ Historic Opex'!B20</f>
        <v>Corporate costs</v>
      </c>
      <c r="C65" s="111" t="str">
        <f>'Input│ Historic Opex'!C20</f>
        <v>$m nominal</v>
      </c>
      <c r="D65" s="115"/>
      <c r="E65" s="26"/>
      <c r="F65" s="26"/>
      <c r="G65" s="26"/>
    </row>
    <row r="66" spans="2:9" s="5" customFormat="1" ht="15" customHeight="1" x14ac:dyDescent="0.35">
      <c r="B66" s="45" t="str">
        <f>'Input│ Historic Opex'!B21</f>
        <v>Total operating expenditure</v>
      </c>
      <c r="C66" s="114" t="str">
        <f>'Input│ Historic Opex'!C21</f>
        <v>$m nominal</v>
      </c>
      <c r="D66" s="116">
        <f>D61+D63</f>
        <v>12.46658</v>
      </c>
      <c r="E66" s="26"/>
      <c r="F66" s="58"/>
      <c r="G66" s="26"/>
    </row>
    <row r="67" spans="2:9" s="5" customFormat="1" ht="13.5" thickBot="1" x14ac:dyDescent="0.4">
      <c r="B67" s="26"/>
      <c r="C67" s="26"/>
      <c r="D67" s="26"/>
      <c r="E67" s="26"/>
      <c r="F67" s="26"/>
      <c r="G67" s="26"/>
    </row>
    <row r="68" spans="2:9" s="5" customFormat="1" ht="13.9" thickTop="1" thickBot="1" x14ac:dyDescent="0.4">
      <c r="B68" s="25" t="s">
        <v>56</v>
      </c>
      <c r="C68" s="25"/>
      <c r="D68" s="117">
        <f>'Input│ Historic Opex'!H21-'Input│ Historic Opex'!H17-'Input│ Historic Opex'!H19-'Input│ Historic Opex'!H20</f>
        <v>12.46658</v>
      </c>
      <c r="E68" s="26"/>
      <c r="F68" s="26"/>
      <c r="G68" s="26"/>
    </row>
    <row r="69" spans="2:9" s="5" customFormat="1" ht="13.9" thickTop="1" thickBot="1" x14ac:dyDescent="0.4">
      <c r="B69" s="25"/>
      <c r="C69" s="25"/>
      <c r="D69" s="117">
        <f>D66-D68</f>
        <v>0</v>
      </c>
      <c r="E69" s="26"/>
      <c r="F69" s="26"/>
      <c r="G69" s="26"/>
    </row>
    <row r="70" spans="2:9" s="5" customFormat="1" ht="15" customHeight="1" thickTop="1" x14ac:dyDescent="0.35">
      <c r="E70" s="26"/>
      <c r="F70" s="26"/>
      <c r="G70" s="26"/>
    </row>
    <row r="71" spans="2:9" s="5" customFormat="1" ht="15" customHeight="1" x14ac:dyDescent="0.35">
      <c r="E71" s="26"/>
      <c r="F71" s="26"/>
      <c r="G71" s="26"/>
    </row>
    <row r="72" spans="2:9" s="5" customFormat="1" ht="24.95" customHeight="1" thickBot="1" x14ac:dyDescent="0.65">
      <c r="B72" s="2" t="s">
        <v>83</v>
      </c>
      <c r="C72" s="2"/>
      <c r="D72" s="2"/>
      <c r="E72" s="26"/>
      <c r="F72" s="26"/>
      <c r="G72" s="26"/>
      <c r="H72" s="26"/>
      <c r="I72" s="26"/>
    </row>
    <row r="73" spans="2:9" s="5" customFormat="1" ht="15" customHeight="1" thickTop="1" x14ac:dyDescent="0.45">
      <c r="B73" s="72" t="str">
        <f>B61</f>
        <v>Pipeline operations</v>
      </c>
      <c r="C73" s="72"/>
      <c r="D73" s="137">
        <f>D61/D66</f>
        <v>0.95211846392515032</v>
      </c>
      <c r="E73" s="26"/>
      <c r="F73" s="26"/>
      <c r="G73" s="26"/>
      <c r="H73" s="26"/>
      <c r="I73" s="26"/>
    </row>
    <row r="74" spans="2:9" s="5" customFormat="1" ht="15" customHeight="1" x14ac:dyDescent="0.45">
      <c r="B74" s="72" t="str">
        <f t="shared" ref="B74:B77" si="10">B62</f>
        <v>Major expenditure jobs</v>
      </c>
      <c r="C74" s="72"/>
      <c r="D74" s="137"/>
      <c r="E74" s="26"/>
      <c r="F74" s="26"/>
      <c r="G74" s="26"/>
      <c r="H74" s="26"/>
      <c r="I74" s="26"/>
    </row>
    <row r="75" spans="2:9" s="5" customFormat="1" ht="15" customHeight="1" x14ac:dyDescent="0.45">
      <c r="B75" s="72" t="str">
        <f t="shared" si="10"/>
        <v>Commercial operations</v>
      </c>
      <c r="C75" s="72"/>
      <c r="D75" s="137">
        <f>D63/D66</f>
        <v>4.7881536074849712E-2</v>
      </c>
      <c r="E75" s="26"/>
      <c r="F75" s="26"/>
      <c r="G75" s="26"/>
      <c r="H75" s="26"/>
      <c r="I75" s="26"/>
    </row>
    <row r="76" spans="2:9" s="5" customFormat="1" ht="15" customHeight="1" x14ac:dyDescent="0.35">
      <c r="B76" s="72" t="str">
        <f t="shared" si="10"/>
        <v>Regulatory</v>
      </c>
      <c r="C76" s="72"/>
      <c r="D76" s="72"/>
      <c r="E76" s="26"/>
      <c r="F76" s="26"/>
      <c r="G76" s="26"/>
      <c r="H76" s="26"/>
      <c r="I76" s="26"/>
    </row>
    <row r="77" spans="2:9" s="5" customFormat="1" ht="15" customHeight="1" x14ac:dyDescent="0.35">
      <c r="B77" s="72" t="str">
        <f t="shared" si="10"/>
        <v>Corporate costs</v>
      </c>
      <c r="C77" s="72"/>
      <c r="D77" s="72"/>
      <c r="E77" s="26"/>
      <c r="F77" s="26"/>
      <c r="G77" s="26"/>
      <c r="H77" s="26"/>
      <c r="I77" s="26"/>
    </row>
    <row r="78" spans="2:9" s="5" customFormat="1" ht="15" customHeight="1" x14ac:dyDescent="0.35">
      <c r="B78" s="118" t="str">
        <f t="shared" ref="B78" si="11">B66</f>
        <v>Total operating expenditure</v>
      </c>
      <c r="C78" s="119"/>
      <c r="D78" s="136">
        <f>D73+D75</f>
        <v>1</v>
      </c>
      <c r="E78" s="26"/>
      <c r="F78" s="26"/>
      <c r="G78" s="26"/>
      <c r="H78" s="26"/>
      <c r="I78" s="26"/>
    </row>
    <row r="79" spans="2:9" s="5" customFormat="1" ht="15" customHeight="1" x14ac:dyDescent="0.35">
      <c r="B79" s="26"/>
      <c r="C79" s="26"/>
      <c r="D79" s="26"/>
      <c r="E79" s="26"/>
      <c r="F79" s="26"/>
      <c r="G79" s="26"/>
      <c r="H79" s="26"/>
      <c r="I79" s="26"/>
    </row>
    <row r="80" spans="2:9" ht="15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zoomScaleNormal="100" workbookViewId="0"/>
  </sheetViews>
  <sheetFormatPr defaultColWidth="14.1328125" defaultRowHeight="13.15" x14ac:dyDescent="0.35"/>
  <cols>
    <col min="1" max="1" width="2.73046875" style="5" customWidth="1"/>
    <col min="2" max="2" width="70.73046875" style="5" customWidth="1"/>
    <col min="3" max="11" width="15.73046875" style="5" customWidth="1"/>
    <col min="12" max="12" width="14.1328125" style="5"/>
    <col min="13" max="13" width="27.1328125" style="5" customWidth="1"/>
    <col min="14" max="14" width="15.59765625" style="5" customWidth="1"/>
    <col min="15" max="16384" width="14.1328125" style="5"/>
  </cols>
  <sheetData>
    <row r="2" spans="2:11" s="1" customFormat="1" x14ac:dyDescent="0.35"/>
    <row r="3" spans="2:11" s="1" customFormat="1" x14ac:dyDescent="0.35"/>
    <row r="4" spans="2:11" s="1" customFormat="1" x14ac:dyDescent="0.35"/>
    <row r="5" spans="2:11" s="1" customFormat="1" x14ac:dyDescent="0.35"/>
    <row r="6" spans="2:11" s="1" customFormat="1" x14ac:dyDescent="0.35"/>
    <row r="7" spans="2:11" s="1" customFormat="1" x14ac:dyDescent="0.35"/>
    <row r="8" spans="2:11" s="1" customFormat="1" x14ac:dyDescent="0.35"/>
    <row r="9" spans="2:11" s="1" customFormat="1" x14ac:dyDescent="0.35"/>
    <row r="10" spans="2:11" s="1" customFormat="1" x14ac:dyDescent="0.35"/>
    <row r="11" spans="2:11" s="1" customFormat="1" x14ac:dyDescent="0.35"/>
    <row r="12" spans="2:11" s="1" customFormat="1" ht="13.5" thickBot="1" x14ac:dyDescent="0.4"/>
    <row r="13" spans="2:11" s="138" customFormat="1" ht="24.95" customHeight="1" thickTop="1" thickBot="1" x14ac:dyDescent="0.75">
      <c r="B13" s="139" t="str">
        <f ca="1">RIGHT(CELL("filename",B2),LEN(CELL("filename",B2))-FIND("]",CELL("filename",B2)))</f>
        <v>Calc│Forecast</v>
      </c>
      <c r="C13" s="139"/>
      <c r="D13" s="139"/>
      <c r="E13" s="139"/>
      <c r="F13" s="139"/>
      <c r="G13" s="139"/>
      <c r="H13" s="139"/>
      <c r="I13" s="139"/>
      <c r="J13" s="139"/>
      <c r="K13" s="139"/>
    </row>
    <row r="14" spans="2:11" s="1" customFormat="1" ht="13.5" thickTop="1" x14ac:dyDescent="0.35"/>
    <row r="15" spans="2:11" ht="24.95" customHeight="1" thickBot="1" x14ac:dyDescent="0.65">
      <c r="B15" s="2" t="s">
        <v>32</v>
      </c>
      <c r="C15" s="30"/>
      <c r="D15" s="20">
        <f>'Input│ Historic Opex'!H15</f>
        <v>2017</v>
      </c>
      <c r="E15" s="27">
        <f>'Input│ Forecast'!D15</f>
        <v>2018</v>
      </c>
      <c r="F15" s="27">
        <f>'Input│ Forecast'!E15</f>
        <v>2019</v>
      </c>
      <c r="G15" s="27">
        <f>'Input│ Forecast'!F15</f>
        <v>2020</v>
      </c>
      <c r="H15" s="27">
        <f>'Input│ Forecast'!G15</f>
        <v>2021</v>
      </c>
      <c r="I15" s="27">
        <f>'Input│ Forecast'!H15</f>
        <v>2022</v>
      </c>
      <c r="J15" s="27">
        <f>'Input│ Forecast'!I15</f>
        <v>2023</v>
      </c>
      <c r="K15" s="27">
        <f>'Input│ Forecast'!J15</f>
        <v>2024</v>
      </c>
    </row>
    <row r="16" spans="2:11" ht="20.100000000000001" customHeight="1" thickTop="1" thickBot="1" x14ac:dyDescent="0.4">
      <c r="B16" s="142" t="s">
        <v>97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2:11" ht="13.5" thickTop="1" x14ac:dyDescent="0.35">
      <c r="B17" s="45" t="s">
        <v>12</v>
      </c>
      <c r="C17" s="140" t="s">
        <v>5</v>
      </c>
      <c r="D17" s="60">
        <f>'Input│ Historic Opex'!H21</f>
        <v>15.984523000000001</v>
      </c>
    </row>
    <row r="18" spans="2:11" x14ac:dyDescent="0.35"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2:11" ht="20.100000000000001" customHeight="1" thickBot="1" x14ac:dyDescent="0.4">
      <c r="B19" s="141" t="s">
        <v>89</v>
      </c>
      <c r="C19" s="12"/>
      <c r="D19" s="12"/>
      <c r="E19" s="12"/>
      <c r="F19" s="12"/>
      <c r="G19" s="12"/>
      <c r="H19" s="12"/>
      <c r="I19" s="12"/>
      <c r="J19" s="12"/>
      <c r="K19" s="12"/>
    </row>
    <row r="20" spans="2:11" ht="15" customHeight="1" thickTop="1" x14ac:dyDescent="0.35">
      <c r="B20" s="143" t="s">
        <v>34</v>
      </c>
      <c r="C20" s="10" t="s">
        <v>5</v>
      </c>
      <c r="D20" s="76">
        <v>0</v>
      </c>
    </row>
    <row r="21" spans="2:11" ht="15" customHeight="1" x14ac:dyDescent="0.35">
      <c r="B21" s="45" t="s">
        <v>13</v>
      </c>
      <c r="C21" s="10" t="s">
        <v>5</v>
      </c>
      <c r="D21" s="71">
        <f>SUM(D20)</f>
        <v>0</v>
      </c>
    </row>
    <row r="22" spans="2:11" ht="15" customHeight="1" x14ac:dyDescent="0.35"/>
    <row r="23" spans="2:11" ht="20.100000000000001" customHeight="1" thickBot="1" x14ac:dyDescent="0.4">
      <c r="B23" s="142" t="s">
        <v>96</v>
      </c>
      <c r="C23" s="12"/>
      <c r="D23" s="12"/>
      <c r="E23" s="12"/>
      <c r="F23" s="12"/>
      <c r="G23" s="12"/>
      <c r="H23" s="12"/>
      <c r="I23" s="12"/>
      <c r="J23" s="12"/>
      <c r="K23" s="12"/>
    </row>
    <row r="24" spans="2:11" ht="15" customHeight="1" thickTop="1" x14ac:dyDescent="0.35">
      <c r="B24" s="45" t="s">
        <v>12</v>
      </c>
      <c r="C24" s="10" t="s">
        <v>5</v>
      </c>
      <c r="D24" s="60">
        <f>D17-D21</f>
        <v>15.984523000000001</v>
      </c>
    </row>
    <row r="25" spans="2:11" ht="15" customHeight="1" x14ac:dyDescent="0.35"/>
    <row r="26" spans="2:11" ht="20.100000000000001" customHeight="1" thickBot="1" x14ac:dyDescent="0.4">
      <c r="B26" s="142" t="s">
        <v>90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1" ht="15" customHeight="1" thickTop="1" x14ac:dyDescent="0.35">
      <c r="B27" s="144" t="s">
        <v>31</v>
      </c>
      <c r="C27" s="10" t="s">
        <v>5</v>
      </c>
      <c r="D27" s="145">
        <f>'Input│ Historic Opex'!H17</f>
        <v>0.32215100000000002</v>
      </c>
    </row>
    <row r="28" spans="2:11" ht="15" customHeight="1" x14ac:dyDescent="0.35">
      <c r="B28" s="144" t="s">
        <v>45</v>
      </c>
      <c r="C28" s="10" t="s">
        <v>5</v>
      </c>
      <c r="D28" s="145">
        <f>'Input│ Historic Opex'!H19</f>
        <v>0.31285799999999997</v>
      </c>
    </row>
    <row r="29" spans="2:11" ht="15" customHeight="1" x14ac:dyDescent="0.35">
      <c r="B29" s="144" t="str">
        <f>'Input│ Historic Opex'!B30</f>
        <v>Corporate costs</v>
      </c>
      <c r="C29" s="10" t="s">
        <v>5</v>
      </c>
      <c r="D29" s="145">
        <f>'Input│ Historic Opex'!H20</f>
        <v>2.8829340000000001</v>
      </c>
    </row>
    <row r="30" spans="2:11" ht="15" customHeight="1" x14ac:dyDescent="0.35">
      <c r="B30" s="45" t="s">
        <v>14</v>
      </c>
      <c r="C30" s="10" t="s">
        <v>5</v>
      </c>
      <c r="D30" s="71">
        <f>SUM(D27:D29)</f>
        <v>3.5179429999999998</v>
      </c>
    </row>
    <row r="31" spans="2:11" ht="15" customHeight="1" x14ac:dyDescent="0.35"/>
    <row r="32" spans="2:11" ht="20.100000000000001" customHeight="1" thickBot="1" x14ac:dyDescent="0.4">
      <c r="B32" s="142" t="s">
        <v>95</v>
      </c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5" customHeight="1" thickTop="1" x14ac:dyDescent="0.35">
      <c r="B33" s="45" t="s">
        <v>12</v>
      </c>
      <c r="C33" s="10" t="s">
        <v>5</v>
      </c>
      <c r="D33" s="146">
        <f>D24-D30</f>
        <v>12.46658</v>
      </c>
    </row>
    <row r="34" spans="2:11" ht="15" customHeight="1" x14ac:dyDescent="0.35">
      <c r="B34" s="45" t="s">
        <v>12</v>
      </c>
      <c r="C34" s="10" t="s">
        <v>47</v>
      </c>
      <c r="D34" s="71">
        <f>D33*'Input│ Forecast'!$D$17</f>
        <v>12.699705046</v>
      </c>
      <c r="E34" s="71">
        <f>D34</f>
        <v>12.699705046</v>
      </c>
      <c r="F34" s="71">
        <f t="shared" ref="F34:K34" si="0">E34</f>
        <v>12.699705046</v>
      </c>
      <c r="G34" s="71">
        <f t="shared" si="0"/>
        <v>12.699705046</v>
      </c>
      <c r="H34" s="71">
        <f t="shared" si="0"/>
        <v>12.699705046</v>
      </c>
      <c r="I34" s="71">
        <f t="shared" si="0"/>
        <v>12.699705046</v>
      </c>
      <c r="J34" s="71">
        <f t="shared" si="0"/>
        <v>12.699705046</v>
      </c>
      <c r="K34" s="71">
        <f t="shared" si="0"/>
        <v>12.699705046</v>
      </c>
    </row>
    <row r="35" spans="2:11" ht="15" customHeight="1" x14ac:dyDescent="0.35"/>
    <row r="36" spans="2:11" ht="20.100000000000001" customHeight="1" thickBot="1" x14ac:dyDescent="0.4">
      <c r="B36" s="142" t="s">
        <v>94</v>
      </c>
      <c r="C36" s="12"/>
      <c r="D36" s="12"/>
      <c r="E36" s="12"/>
      <c r="F36" s="12"/>
      <c r="G36" s="12"/>
      <c r="H36" s="12"/>
      <c r="I36" s="12"/>
      <c r="J36" s="12"/>
      <c r="K36" s="12"/>
    </row>
    <row r="37" spans="2:11" ht="15" customHeight="1" thickTop="1" x14ac:dyDescent="0.35">
      <c r="B37" s="45" t="str">
        <f>B27</f>
        <v>MEJs</v>
      </c>
      <c r="C37" s="10" t="s">
        <v>47</v>
      </c>
      <c r="D37" s="60">
        <f>D27</f>
        <v>0.32215100000000002</v>
      </c>
      <c r="E37" s="60">
        <f>'Input│ Forecast'!D29</f>
        <v>0.40161157998110708</v>
      </c>
      <c r="F37" s="60">
        <f>'Input│ Forecast'!E29</f>
        <v>0.4191593811831088</v>
      </c>
      <c r="G37" s="60">
        <f>'Input│ Forecast'!F29</f>
        <v>0.56000000000000005</v>
      </c>
      <c r="H37" s="60">
        <f>'Input│ Forecast'!G29</f>
        <v>0.68</v>
      </c>
      <c r="I37" s="60">
        <f>'Input│ Forecast'!H29</f>
        <v>0.67000000000000015</v>
      </c>
      <c r="J37" s="60">
        <f>'Input│ Forecast'!I29</f>
        <v>0.4</v>
      </c>
      <c r="K37" s="60">
        <f>'Input│ Forecast'!J29</f>
        <v>0.5</v>
      </c>
    </row>
    <row r="38" spans="2:11" ht="15" customHeight="1" x14ac:dyDescent="0.35">
      <c r="B38" s="45" t="str">
        <f t="shared" ref="B38:B39" si="1">B28</f>
        <v>Regulatory</v>
      </c>
      <c r="C38" s="10" t="s">
        <v>47</v>
      </c>
      <c r="D38" s="60">
        <f t="shared" ref="D38:D39" si="2">D28</f>
        <v>0.31285799999999997</v>
      </c>
      <c r="E38" s="60">
        <f>'Input│ Forecast'!D34</f>
        <v>0.84353756053900009</v>
      </c>
      <c r="F38" s="60">
        <f>'Input│ Forecast'!E34</f>
        <v>0.86459889013475011</v>
      </c>
      <c r="G38" s="60">
        <f>'Input│ Forecast'!F34</f>
        <v>1.2110000000000001</v>
      </c>
      <c r="H38" s="60">
        <f>'Input│ Forecast'!G34</f>
        <v>1.091</v>
      </c>
      <c r="I38" s="60">
        <f>'Input│ Forecast'!H34</f>
        <v>1.091</v>
      </c>
      <c r="J38" s="60">
        <f>'Input│ Forecast'!I34</f>
        <v>1.091</v>
      </c>
      <c r="K38" s="60">
        <f>'Input│ Forecast'!J34</f>
        <v>1.091</v>
      </c>
    </row>
    <row r="39" spans="2:11" ht="15" customHeight="1" x14ac:dyDescent="0.35">
      <c r="B39" s="45" t="str">
        <f t="shared" si="1"/>
        <v>Corporate costs</v>
      </c>
      <c r="C39" s="10" t="s">
        <v>47</v>
      </c>
      <c r="D39" s="60">
        <f t="shared" si="2"/>
        <v>2.8829340000000001</v>
      </c>
      <c r="E39" s="60">
        <f>'Input│ Forecast'!D39</f>
        <v>4.7889851485148514</v>
      </c>
      <c r="F39" s="60">
        <f>'Input│ Forecast'!E39</f>
        <v>4.7889851485148514</v>
      </c>
      <c r="G39" s="60">
        <f>'Input│ Forecast'!F39</f>
        <v>4.7889851485148514</v>
      </c>
      <c r="H39" s="60">
        <f>'Input│ Forecast'!G39</f>
        <v>4.7889851485148514</v>
      </c>
      <c r="I39" s="60">
        <f>'Input│ Forecast'!H39</f>
        <v>4.7889851485148514</v>
      </c>
      <c r="J39" s="60">
        <f>'Input│ Forecast'!I39</f>
        <v>4.7889851485148514</v>
      </c>
      <c r="K39" s="60">
        <f>'Input│ Forecast'!J39</f>
        <v>4.7889851485148514</v>
      </c>
    </row>
    <row r="40" spans="2:11" ht="15" customHeight="1" x14ac:dyDescent="0.35">
      <c r="B40" s="45" t="s">
        <v>91</v>
      </c>
      <c r="C40" s="10" t="s">
        <v>47</v>
      </c>
      <c r="D40" s="7">
        <f>SUM(D37:D39)</f>
        <v>3.5179429999999998</v>
      </c>
      <c r="E40" s="7">
        <f t="shared" ref="E40:K40" si="3">SUM(E37:E39)</f>
        <v>6.0341342890349585</v>
      </c>
      <c r="F40" s="7">
        <f t="shared" si="3"/>
        <v>6.0727434198327099</v>
      </c>
      <c r="G40" s="7">
        <f t="shared" si="3"/>
        <v>6.5599851485148513</v>
      </c>
      <c r="H40" s="7">
        <f t="shared" si="3"/>
        <v>6.5599851485148513</v>
      </c>
      <c r="I40" s="7">
        <f t="shared" si="3"/>
        <v>6.5499851485148515</v>
      </c>
      <c r="J40" s="7">
        <f t="shared" si="3"/>
        <v>6.2799851485148519</v>
      </c>
      <c r="K40" s="7">
        <f t="shared" si="3"/>
        <v>6.3799851485148515</v>
      </c>
    </row>
    <row r="41" spans="2:11" ht="15" customHeight="1" x14ac:dyDescent="0.35"/>
    <row r="42" spans="2:11" ht="20.100000000000001" customHeight="1" thickBot="1" x14ac:dyDescent="0.4">
      <c r="B42" s="142" t="s">
        <v>93</v>
      </c>
      <c r="C42" s="12"/>
      <c r="D42" s="12"/>
      <c r="E42" s="12"/>
      <c r="F42" s="12"/>
      <c r="G42" s="12"/>
      <c r="H42" s="12"/>
      <c r="I42" s="12"/>
      <c r="J42" s="12"/>
      <c r="K42" s="12"/>
    </row>
    <row r="43" spans="2:11" ht="15" customHeight="1" thickTop="1" x14ac:dyDescent="0.35">
      <c r="B43" s="7" t="str">
        <f>B42</f>
        <v>Baseline forecast OPEX</v>
      </c>
      <c r="C43" s="10" t="s">
        <v>47</v>
      </c>
      <c r="D43" s="7">
        <f>D34+D40</f>
        <v>16.217648046000001</v>
      </c>
      <c r="E43" s="7">
        <f t="shared" ref="E43:K43" si="4">E34+E40</f>
        <v>18.733839335034958</v>
      </c>
      <c r="F43" s="7">
        <f t="shared" si="4"/>
        <v>18.77244846583271</v>
      </c>
      <c r="G43" s="7">
        <f t="shared" si="4"/>
        <v>19.259690194514853</v>
      </c>
      <c r="H43" s="7">
        <f t="shared" si="4"/>
        <v>19.259690194514853</v>
      </c>
      <c r="I43" s="7">
        <f t="shared" si="4"/>
        <v>19.249690194514852</v>
      </c>
      <c r="J43" s="7">
        <f t="shared" si="4"/>
        <v>18.979690194514852</v>
      </c>
      <c r="K43" s="7">
        <f t="shared" si="4"/>
        <v>19.079690194514853</v>
      </c>
    </row>
    <row r="44" spans="2:11" ht="15" customHeight="1" x14ac:dyDescent="0.35"/>
    <row r="45" spans="2:11" ht="20.100000000000001" customHeight="1" thickBot="1" x14ac:dyDescent="0.4">
      <c r="B45" s="142" t="s">
        <v>2</v>
      </c>
      <c r="C45" s="12"/>
      <c r="D45" s="12"/>
      <c r="E45" s="12"/>
      <c r="F45" s="12"/>
      <c r="G45" s="12"/>
      <c r="H45" s="12"/>
      <c r="I45" s="12"/>
      <c r="J45" s="12"/>
      <c r="K45" s="12"/>
    </row>
    <row r="46" spans="2:11" ht="15" customHeight="1" thickTop="1" x14ac:dyDescent="0.35">
      <c r="B46" s="7" t="s">
        <v>15</v>
      </c>
      <c r="C46" s="10" t="s">
        <v>47</v>
      </c>
      <c r="D46" s="8"/>
      <c r="E46" s="8"/>
      <c r="F46" s="8"/>
      <c r="G46" s="8"/>
      <c r="H46" s="8"/>
      <c r="I46" s="8"/>
      <c r="J46" s="8"/>
      <c r="K46" s="8"/>
    </row>
    <row r="47" spans="2:11" ht="15" customHeight="1" x14ac:dyDescent="0.35">
      <c r="B47" s="7" t="s">
        <v>16</v>
      </c>
      <c r="C47" s="10" t="s">
        <v>47</v>
      </c>
      <c r="D47" s="7">
        <f t="shared" ref="D47:K47" si="5">SUM(D46:D46)</f>
        <v>0</v>
      </c>
      <c r="E47" s="7">
        <f t="shared" si="5"/>
        <v>0</v>
      </c>
      <c r="F47" s="7">
        <f t="shared" si="5"/>
        <v>0</v>
      </c>
      <c r="G47" s="7">
        <f t="shared" si="5"/>
        <v>0</v>
      </c>
      <c r="H47" s="7">
        <f t="shared" si="5"/>
        <v>0</v>
      </c>
      <c r="I47" s="7">
        <f t="shared" si="5"/>
        <v>0</v>
      </c>
      <c r="J47" s="7">
        <f t="shared" si="5"/>
        <v>0</v>
      </c>
      <c r="K47" s="7">
        <f t="shared" si="5"/>
        <v>0</v>
      </c>
    </row>
    <row r="48" spans="2:11" ht="15" customHeight="1" x14ac:dyDescent="0.35"/>
    <row r="49" spans="2:18" ht="15" customHeight="1" x14ac:dyDescent="0.35">
      <c r="B49" s="7" t="s">
        <v>48</v>
      </c>
      <c r="C49" s="10" t="s">
        <v>47</v>
      </c>
      <c r="D49" s="59">
        <f t="shared" ref="D49:K49" si="6">D43+D47</f>
        <v>16.217648046000001</v>
      </c>
      <c r="E49" s="59">
        <f t="shared" si="6"/>
        <v>18.733839335034958</v>
      </c>
      <c r="F49" s="59">
        <f t="shared" si="6"/>
        <v>18.77244846583271</v>
      </c>
      <c r="G49" s="59">
        <f t="shared" si="6"/>
        <v>19.259690194514853</v>
      </c>
      <c r="H49" s="59">
        <f t="shared" si="6"/>
        <v>19.259690194514853</v>
      </c>
      <c r="I49" s="59">
        <f t="shared" si="6"/>
        <v>19.249690194514852</v>
      </c>
      <c r="J49" s="59">
        <f t="shared" si="6"/>
        <v>18.979690194514852</v>
      </c>
      <c r="K49" s="59">
        <f t="shared" si="6"/>
        <v>19.079690194514853</v>
      </c>
    </row>
    <row r="50" spans="2:18" ht="15" customHeight="1" x14ac:dyDescent="0.35"/>
    <row r="51" spans="2:18" ht="20.100000000000001" customHeight="1" thickBot="1" x14ac:dyDescent="0.4">
      <c r="B51" s="142" t="s">
        <v>92</v>
      </c>
      <c r="C51" s="12"/>
      <c r="D51" s="12"/>
      <c r="E51" s="12"/>
      <c r="F51" s="12"/>
      <c r="G51" s="12"/>
      <c r="H51" s="12"/>
      <c r="I51" s="12"/>
      <c r="J51" s="12"/>
      <c r="K51" s="12"/>
    </row>
    <row r="52" spans="2:18" ht="15" customHeight="1" thickTop="1" x14ac:dyDescent="0.35">
      <c r="B52" s="21" t="s">
        <v>102</v>
      </c>
      <c r="C52" s="21"/>
      <c r="D52" s="32">
        <f>'Input│ Historic Opex'!H39</f>
        <v>0.54436353738059251</v>
      </c>
      <c r="E52" s="32">
        <f>D52</f>
        <v>0.54436353738059251</v>
      </c>
      <c r="F52" s="32">
        <f t="shared" ref="F52:K52" si="7">E52</f>
        <v>0.54436353738059251</v>
      </c>
      <c r="G52" s="32">
        <f t="shared" si="7"/>
        <v>0.54436353738059251</v>
      </c>
      <c r="H52" s="32">
        <f t="shared" si="7"/>
        <v>0.54436353738059251</v>
      </c>
      <c r="I52" s="32">
        <f t="shared" si="7"/>
        <v>0.54436353738059251</v>
      </c>
      <c r="J52" s="32">
        <f t="shared" si="7"/>
        <v>0.54436353738059251</v>
      </c>
      <c r="K52" s="32">
        <f t="shared" si="7"/>
        <v>0.54436353738059251</v>
      </c>
    </row>
    <row r="53" spans="2:18" ht="15" customHeight="1" x14ac:dyDescent="0.35">
      <c r="B53" s="45" t="s">
        <v>22</v>
      </c>
      <c r="C53" s="10" t="s">
        <v>47</v>
      </c>
      <c r="D53" s="7">
        <f t="shared" ref="D53:K53" si="8">D49*D52</f>
        <v>8.8282962583140137</v>
      </c>
      <c r="E53" s="7">
        <f t="shared" si="8"/>
        <v>10.198019049139317</v>
      </c>
      <c r="F53" s="7">
        <f t="shared" si="8"/>
        <v>10.219036452155571</v>
      </c>
      <c r="G53" s="7">
        <f t="shared" si="8"/>
        <v>10.484273083140417</v>
      </c>
      <c r="H53" s="7">
        <f t="shared" si="8"/>
        <v>10.484273083140417</v>
      </c>
      <c r="I53" s="7">
        <f t="shared" si="8"/>
        <v>10.478829447766611</v>
      </c>
      <c r="J53" s="7">
        <f t="shared" si="8"/>
        <v>10.33185129267385</v>
      </c>
      <c r="K53" s="7">
        <f t="shared" si="8"/>
        <v>10.38628764641191</v>
      </c>
    </row>
    <row r="54" spans="2:18" ht="15" customHeight="1" x14ac:dyDescent="0.35">
      <c r="B54" s="21" t="s">
        <v>23</v>
      </c>
      <c r="C54" s="21"/>
      <c r="D54" s="147">
        <v>1</v>
      </c>
      <c r="E54" s="29">
        <f>'Input│ Forecast'!D56</f>
        <v>1.0011165207882551</v>
      </c>
      <c r="F54" s="29">
        <f>'Input│ Forecast'!E56</f>
        <v>1.0047370794971513</v>
      </c>
      <c r="G54" s="29">
        <f>'Input│ Forecast'!F56</f>
        <v>1.0184181028268549</v>
      </c>
      <c r="H54" s="29">
        <f>'Input│ Forecast'!G56</f>
        <v>1.034831459352199</v>
      </c>
      <c r="I54" s="29">
        <f>'Input│ Forecast'!H56</f>
        <v>1.0540964207275694</v>
      </c>
      <c r="J54" s="29">
        <f>'Input│ Forecast'!I56</f>
        <v>1.0737200286568693</v>
      </c>
      <c r="K54" s="29">
        <f>'Input│ Forecast'!J56</f>
        <v>1.0937089598911256</v>
      </c>
    </row>
    <row r="55" spans="2:18" ht="15" customHeight="1" x14ac:dyDescent="0.35">
      <c r="B55" s="45" t="s">
        <v>100</v>
      </c>
      <c r="C55" s="10" t="s">
        <v>47</v>
      </c>
      <c r="D55" s="7">
        <f>D53*D54</f>
        <v>8.8282962583140137</v>
      </c>
      <c r="E55" s="7">
        <f t="shared" ref="E55:K55" si="9">E53*E54</f>
        <v>10.209405349406703</v>
      </c>
      <c r="F55" s="7">
        <f t="shared" si="9"/>
        <v>10.267444840213718</v>
      </c>
      <c r="G55" s="7">
        <f t="shared" si="9"/>
        <v>10.677373502850523</v>
      </c>
      <c r="H55" s="7">
        <f t="shared" si="9"/>
        <v>10.849455614873177</v>
      </c>
      <c r="I55" s="7">
        <f t="shared" si="9"/>
        <v>11.045696614305436</v>
      </c>
      <c r="J55" s="7">
        <f t="shared" si="9"/>
        <v>11.093515666048278</v>
      </c>
      <c r="K55" s="7">
        <f t="shared" si="9"/>
        <v>11.359575858887217</v>
      </c>
    </row>
    <row r="56" spans="2:18" ht="15" customHeight="1" x14ac:dyDescent="0.35">
      <c r="B56" s="156" t="s">
        <v>101</v>
      </c>
    </row>
    <row r="57" spans="2:18" ht="20.100000000000001" customHeight="1" thickBot="1" x14ac:dyDescent="0.4">
      <c r="B57" s="142" t="s">
        <v>103</v>
      </c>
      <c r="C57" s="12"/>
      <c r="D57" s="12"/>
      <c r="E57" s="12"/>
      <c r="F57" s="12"/>
      <c r="G57" s="12"/>
      <c r="H57" s="12"/>
      <c r="I57" s="12"/>
      <c r="J57" s="12"/>
      <c r="K57" s="12"/>
    </row>
    <row r="58" spans="2:18" ht="15" customHeight="1" thickTop="1" x14ac:dyDescent="0.35">
      <c r="B58" s="45" t="s">
        <v>104</v>
      </c>
      <c r="C58" s="10" t="s">
        <v>47</v>
      </c>
      <c r="D58" s="61">
        <f t="shared" ref="D58:K58" si="10">D49-D53-D37</f>
        <v>7.0672007876859873</v>
      </c>
      <c r="E58" s="162">
        <f t="shared" si="10"/>
        <v>8.1342087059145332</v>
      </c>
      <c r="F58" s="61">
        <f t="shared" si="10"/>
        <v>8.1342526324940305</v>
      </c>
      <c r="G58" s="61">
        <f t="shared" si="10"/>
        <v>8.2154171113744354</v>
      </c>
      <c r="H58" s="61">
        <f t="shared" si="10"/>
        <v>8.0954171113744362</v>
      </c>
      <c r="I58" s="61">
        <f t="shared" si="10"/>
        <v>8.100860746748241</v>
      </c>
      <c r="J58" s="61">
        <f t="shared" si="10"/>
        <v>8.2478389018410017</v>
      </c>
      <c r="K58" s="61">
        <f t="shared" si="10"/>
        <v>8.1934025481029433</v>
      </c>
    </row>
    <row r="59" spans="2:18" ht="15" customHeight="1" x14ac:dyDescent="0.35">
      <c r="B59" s="45" t="s">
        <v>105</v>
      </c>
      <c r="C59" s="10" t="s">
        <v>47</v>
      </c>
      <c r="D59" s="61">
        <f t="shared" ref="D59:K59" si="11">D55</f>
        <v>8.8282962583140137</v>
      </c>
      <c r="E59" s="162">
        <f t="shared" si="11"/>
        <v>10.209405349406703</v>
      </c>
      <c r="F59" s="61">
        <f t="shared" si="11"/>
        <v>10.267444840213718</v>
      </c>
      <c r="G59" s="61">
        <f t="shared" si="11"/>
        <v>10.677373502850523</v>
      </c>
      <c r="H59" s="61">
        <f t="shared" si="11"/>
        <v>10.849455614873177</v>
      </c>
      <c r="I59" s="61">
        <f t="shared" si="11"/>
        <v>11.045696614305436</v>
      </c>
      <c r="J59" s="61">
        <f t="shared" si="11"/>
        <v>11.093515666048278</v>
      </c>
      <c r="K59" s="61">
        <f t="shared" si="11"/>
        <v>11.359575858887217</v>
      </c>
    </row>
    <row r="60" spans="2:18" ht="15" customHeight="1" x14ac:dyDescent="0.35">
      <c r="B60" s="72" t="s">
        <v>103</v>
      </c>
      <c r="C60" s="10" t="s">
        <v>47</v>
      </c>
      <c r="D60" s="62">
        <f t="shared" ref="D60:K60" si="12">SUM(D58:D59)</f>
        <v>15.895497046000001</v>
      </c>
      <c r="E60" s="62">
        <f t="shared" si="12"/>
        <v>18.343614055321236</v>
      </c>
      <c r="F60" s="62">
        <f t="shared" si="12"/>
        <v>18.401697472707749</v>
      </c>
      <c r="G60" s="62">
        <f t="shared" si="12"/>
        <v>18.892790614224957</v>
      </c>
      <c r="H60" s="62">
        <f t="shared" si="12"/>
        <v>18.944872726247613</v>
      </c>
      <c r="I60" s="62">
        <f t="shared" si="12"/>
        <v>19.146557361053677</v>
      </c>
      <c r="J60" s="62">
        <f t="shared" si="12"/>
        <v>19.34135456788928</v>
      </c>
      <c r="K60" s="62">
        <f t="shared" si="12"/>
        <v>19.55297840699016</v>
      </c>
      <c r="M60" s="24"/>
      <c r="N60" s="24"/>
      <c r="O60" s="24"/>
      <c r="P60" s="24"/>
      <c r="Q60" s="24"/>
      <c r="R60" s="24"/>
    </row>
    <row r="61" spans="2:18" x14ac:dyDescent="0.35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2:18" ht="13.5" thickBot="1" x14ac:dyDescent="0.4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2:18" ht="24.95" customHeight="1" thickTop="1" thickBot="1" x14ac:dyDescent="0.75">
      <c r="B63" s="11" t="s">
        <v>26</v>
      </c>
      <c r="C63" s="11"/>
      <c r="D63" s="31"/>
      <c r="E63" s="31"/>
      <c r="F63" s="31"/>
      <c r="G63" s="31"/>
      <c r="H63" s="31"/>
      <c r="I63" s="31"/>
      <c r="J63" s="31"/>
      <c r="K63" s="31"/>
      <c r="M63" s="64"/>
    </row>
    <row r="64" spans="2:18" ht="15" customHeight="1" thickTop="1" thickBot="1" x14ac:dyDescent="0.75">
      <c r="B64" s="11"/>
      <c r="C64" s="11"/>
      <c r="D64" s="31"/>
      <c r="E64" s="31"/>
      <c r="F64" s="31"/>
      <c r="G64" s="31"/>
      <c r="H64" s="31"/>
      <c r="I64" s="31"/>
      <c r="J64" s="31"/>
      <c r="K64" s="31"/>
      <c r="M64" s="64"/>
    </row>
    <row r="65" spans="2:13" ht="20.25" thickTop="1" thickBot="1" x14ac:dyDescent="0.65">
      <c r="B65" s="2" t="s">
        <v>33</v>
      </c>
      <c r="C65" s="2"/>
      <c r="D65" s="2">
        <f>D15</f>
        <v>2017</v>
      </c>
      <c r="E65" s="2">
        <f t="shared" ref="E65:K65" si="13">E15</f>
        <v>2018</v>
      </c>
      <c r="F65" s="2">
        <f t="shared" si="13"/>
        <v>2019</v>
      </c>
      <c r="G65" s="2">
        <f t="shared" si="13"/>
        <v>2020</v>
      </c>
      <c r="H65" s="2">
        <f t="shared" si="13"/>
        <v>2021</v>
      </c>
      <c r="I65" s="2">
        <f t="shared" si="13"/>
        <v>2022</v>
      </c>
      <c r="J65" s="2">
        <f t="shared" si="13"/>
        <v>2023</v>
      </c>
      <c r="K65" s="2">
        <f t="shared" si="13"/>
        <v>2024</v>
      </c>
      <c r="M65" s="65"/>
    </row>
    <row r="66" spans="2:13" ht="15" customHeight="1" thickTop="1" x14ac:dyDescent="0.35">
      <c r="B66" s="72" t="str">
        <f>'Input│ Forecast'!B73</f>
        <v>Pipeline operations</v>
      </c>
      <c r="C66" s="157" t="s">
        <v>47</v>
      </c>
      <c r="D66" s="158">
        <f>(D$60-D$67-D$69-D$70)*'Input│ Forecast'!$D73</f>
        <v>11.784897745428049</v>
      </c>
      <c r="E66" s="158">
        <f>(E$60-E$67-E$69-E$70)*'Input│ Forecast'!$D73</f>
        <v>11.720082966794209</v>
      </c>
      <c r="F66" s="158">
        <f>(F$60-F$67-F$69-F$70)*'Input│ Forecast'!$D73</f>
        <v>11.738624794627137</v>
      </c>
      <c r="G66" s="158">
        <f>(G$60-G$67-G$69-G$70)*'Input│ Forecast'!$D73</f>
        <v>11.742291795899607</v>
      </c>
      <c r="H66" s="158">
        <f>(H$60-H$67-H$69-H$70)*'Input│ Forecast'!$D73</f>
        <v>11.791880136396593</v>
      </c>
      <c r="I66" s="158">
        <f>(I$60-I$67-I$69-I$70)*'Input│ Forecast'!$D73</f>
        <v>11.993428985724696</v>
      </c>
      <c r="J66" s="158">
        <f>(J$60-J$67-J$69-J$70)*'Input│ Forecast'!$D73</f>
        <v>12.435970988333715</v>
      </c>
      <c r="K66" s="158">
        <f>(K$60-K$67-K$69-K$70)*'Input│ Forecast'!$D73</f>
        <v>12.542250106555871</v>
      </c>
      <c r="M66" s="64"/>
    </row>
    <row r="67" spans="2:13" ht="15" customHeight="1" x14ac:dyDescent="0.35">
      <c r="B67" s="72" t="s">
        <v>49</v>
      </c>
      <c r="C67" s="157" t="s">
        <v>47</v>
      </c>
      <c r="D67" s="158">
        <f t="shared" ref="D67:K67" si="14">D37</f>
        <v>0.32215100000000002</v>
      </c>
      <c r="E67" s="158">
        <f t="shared" si="14"/>
        <v>0.40161157998110708</v>
      </c>
      <c r="F67" s="158">
        <f t="shared" si="14"/>
        <v>0.4191593811831088</v>
      </c>
      <c r="G67" s="158">
        <f t="shared" si="14"/>
        <v>0.56000000000000005</v>
      </c>
      <c r="H67" s="158">
        <f t="shared" si="14"/>
        <v>0.68</v>
      </c>
      <c r="I67" s="158">
        <f t="shared" si="14"/>
        <v>0.67000000000000015</v>
      </c>
      <c r="J67" s="158">
        <f t="shared" si="14"/>
        <v>0.4</v>
      </c>
      <c r="K67" s="158">
        <f t="shared" si="14"/>
        <v>0.5</v>
      </c>
      <c r="M67" s="64"/>
    </row>
    <row r="68" spans="2:13" ht="15" customHeight="1" x14ac:dyDescent="0.35">
      <c r="B68" s="72" t="str">
        <f>'Input│ Forecast'!B75</f>
        <v>Commercial operations</v>
      </c>
      <c r="C68" s="157" t="s">
        <v>47</v>
      </c>
      <c r="D68" s="158">
        <f>(D$60-D$67-D$69-D$70)*'Input│ Forecast'!$D75</f>
        <v>0.59265630057195107</v>
      </c>
      <c r="E68" s="158">
        <f>(E$60-E$67-E$69-E$70)*'Input│ Forecast'!$D75</f>
        <v>0.58939679949206891</v>
      </c>
      <c r="F68" s="158">
        <f>(F$60-F$67-F$69-F$70)*'Input│ Forecast'!$D75</f>
        <v>0.59032925824790061</v>
      </c>
      <c r="G68" s="158">
        <f>(G$60-G$67-G$69-G$70)*'Input│ Forecast'!$D75</f>
        <v>0.59051366981050235</v>
      </c>
      <c r="H68" s="158">
        <f>(H$60-H$67-H$69-H$70)*'Input│ Forecast'!$D75</f>
        <v>0.59300744133616934</v>
      </c>
      <c r="I68" s="158">
        <f>(I$60-I$67-I$69-I$70)*'Input│ Forecast'!$D75</f>
        <v>0.60314322681412713</v>
      </c>
      <c r="J68" s="158">
        <f>(J$60-J$67-J$69-J$70)*'Input│ Forecast'!$D75</f>
        <v>0.62539843104071557</v>
      </c>
      <c r="K68" s="158">
        <f>(K$60-K$67-K$69-K$70)*'Input│ Forecast'!$D75</f>
        <v>0.63074315191943753</v>
      </c>
      <c r="M68" s="64"/>
    </row>
    <row r="69" spans="2:13" ht="15" customHeight="1" x14ac:dyDescent="0.35">
      <c r="B69" s="72" t="str">
        <f>B38</f>
        <v>Regulatory</v>
      </c>
      <c r="C69" s="157" t="s">
        <v>47</v>
      </c>
      <c r="D69" s="158">
        <f t="shared" ref="D69:K70" si="15">D38</f>
        <v>0.31285799999999997</v>
      </c>
      <c r="E69" s="158">
        <f t="shared" si="15"/>
        <v>0.84353756053900009</v>
      </c>
      <c r="F69" s="158">
        <f t="shared" si="15"/>
        <v>0.86459889013475011</v>
      </c>
      <c r="G69" s="158">
        <f t="shared" si="15"/>
        <v>1.2110000000000001</v>
      </c>
      <c r="H69" s="158">
        <f t="shared" si="15"/>
        <v>1.091</v>
      </c>
      <c r="I69" s="158">
        <f t="shared" si="15"/>
        <v>1.091</v>
      </c>
      <c r="J69" s="158">
        <f t="shared" si="15"/>
        <v>1.091</v>
      </c>
      <c r="K69" s="158">
        <f t="shared" si="15"/>
        <v>1.091</v>
      </c>
      <c r="M69" s="66"/>
    </row>
    <row r="70" spans="2:13" ht="15" customHeight="1" x14ac:dyDescent="0.35">
      <c r="B70" s="72" t="s">
        <v>58</v>
      </c>
      <c r="C70" s="157" t="s">
        <v>47</v>
      </c>
      <c r="D70" s="158">
        <f t="shared" si="15"/>
        <v>2.8829340000000001</v>
      </c>
      <c r="E70" s="158">
        <f t="shared" si="15"/>
        <v>4.7889851485148514</v>
      </c>
      <c r="F70" s="158">
        <f t="shared" si="15"/>
        <v>4.7889851485148514</v>
      </c>
      <c r="G70" s="158">
        <f t="shared" si="15"/>
        <v>4.7889851485148514</v>
      </c>
      <c r="H70" s="158">
        <f t="shared" si="15"/>
        <v>4.7889851485148514</v>
      </c>
      <c r="I70" s="158">
        <f t="shared" si="15"/>
        <v>4.7889851485148514</v>
      </c>
      <c r="J70" s="158">
        <f t="shared" si="15"/>
        <v>4.7889851485148514</v>
      </c>
      <c r="K70" s="158">
        <f t="shared" si="15"/>
        <v>4.7889851485148514</v>
      </c>
      <c r="M70" s="66"/>
    </row>
    <row r="71" spans="2:13" ht="15" customHeight="1" x14ac:dyDescent="0.35">
      <c r="B71" s="72" t="str">
        <f>'Input│ Forecast'!B78</f>
        <v>Total operating expenditure</v>
      </c>
      <c r="C71" s="157" t="s">
        <v>47</v>
      </c>
      <c r="D71" s="158">
        <f>D66+D67+D68+D69+D70</f>
        <v>15.895497046000001</v>
      </c>
      <c r="E71" s="158">
        <f t="shared" ref="E71:K71" si="16">E66+E67+E68+E69+E70</f>
        <v>18.343614055321236</v>
      </c>
      <c r="F71" s="158">
        <f t="shared" si="16"/>
        <v>18.401697472707749</v>
      </c>
      <c r="G71" s="158">
        <f t="shared" si="16"/>
        <v>18.89279061422496</v>
      </c>
      <c r="H71" s="158">
        <f t="shared" si="16"/>
        <v>18.944872726247613</v>
      </c>
      <c r="I71" s="158">
        <f t="shared" si="16"/>
        <v>19.146557361053674</v>
      </c>
      <c r="J71" s="158">
        <f t="shared" si="16"/>
        <v>19.34135456788928</v>
      </c>
      <c r="K71" s="158">
        <f t="shared" si="16"/>
        <v>19.55297840699016</v>
      </c>
      <c r="M71" s="64"/>
    </row>
    <row r="72" spans="2:13" ht="15" customHeight="1" thickBot="1" x14ac:dyDescent="0.4">
      <c r="M72" s="64"/>
    </row>
    <row r="73" spans="2:13" ht="15" customHeight="1" thickTop="1" thickBot="1" x14ac:dyDescent="0.4">
      <c r="B73" s="25" t="s">
        <v>27</v>
      </c>
      <c r="C73" s="25"/>
      <c r="D73" s="25">
        <f t="shared" ref="D73:K73" si="17">D60-D71</f>
        <v>0</v>
      </c>
      <c r="E73" s="25">
        <f t="shared" si="17"/>
        <v>0</v>
      </c>
      <c r="F73" s="25">
        <f t="shared" si="17"/>
        <v>0</v>
      </c>
      <c r="G73" s="25">
        <f t="shared" si="17"/>
        <v>0</v>
      </c>
      <c r="H73" s="25">
        <f t="shared" si="17"/>
        <v>0</v>
      </c>
      <c r="I73" s="25">
        <f t="shared" si="17"/>
        <v>0</v>
      </c>
      <c r="J73" s="25">
        <f t="shared" si="17"/>
        <v>0</v>
      </c>
      <c r="K73" s="25">
        <f t="shared" si="17"/>
        <v>0</v>
      </c>
      <c r="M73" s="64"/>
    </row>
    <row r="74" spans="2:13" ht="15" customHeight="1" thickTop="1" x14ac:dyDescent="0.35">
      <c r="M74" s="64"/>
    </row>
    <row r="75" spans="2:13" ht="15" customHeight="1" x14ac:dyDescent="0.35">
      <c r="M75" s="64"/>
    </row>
    <row r="76" spans="2:13" ht="15" customHeight="1" x14ac:dyDescent="0.35">
      <c r="M76" s="64"/>
    </row>
    <row r="77" spans="2:13" ht="15" customHeight="1" x14ac:dyDescent="0.35">
      <c r="G77" s="24"/>
      <c r="H77" s="24"/>
      <c r="I77" s="24"/>
      <c r="J77" s="24"/>
      <c r="K77" s="24"/>
      <c r="L77" s="24"/>
      <c r="M77" s="64"/>
    </row>
    <row r="78" spans="2:13" ht="15" customHeight="1" x14ac:dyDescent="0.35">
      <c r="M78" s="64"/>
    </row>
    <row r="79" spans="2:13" ht="15" customHeight="1" x14ac:dyDescent="0.35">
      <c r="M79" s="64"/>
    </row>
    <row r="80" spans="2:13" ht="15" customHeight="1" x14ac:dyDescent="0.35">
      <c r="M80" s="64"/>
    </row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99"/>
  <sheetViews>
    <sheetView zoomScaleNormal="100" workbookViewId="0"/>
  </sheetViews>
  <sheetFormatPr defaultColWidth="14.1328125" defaultRowHeight="13.15" x14ac:dyDescent="0.35"/>
  <cols>
    <col min="1" max="1" width="2.73046875" style="5" customWidth="1"/>
    <col min="2" max="2" width="70.73046875" style="1" customWidth="1"/>
    <col min="3" max="15" width="15.73046875" style="1" customWidth="1"/>
    <col min="16" max="18" width="15.73046875" style="5" customWidth="1"/>
    <col min="19" max="16384" width="14.1328125" style="5"/>
  </cols>
  <sheetData>
    <row r="2" spans="2:22" s="1" customFormat="1" x14ac:dyDescent="0.35"/>
    <row r="3" spans="2:22" s="1" customFormat="1" x14ac:dyDescent="0.35"/>
    <row r="4" spans="2:22" s="1" customFormat="1" x14ac:dyDescent="0.35"/>
    <row r="5" spans="2:22" s="1" customFormat="1" x14ac:dyDescent="0.35"/>
    <row r="6" spans="2:22" s="1" customFormat="1" x14ac:dyDescent="0.35"/>
    <row r="7" spans="2:22" s="1" customFormat="1" x14ac:dyDescent="0.35"/>
    <row r="8" spans="2:22" s="1" customFormat="1" x14ac:dyDescent="0.35"/>
    <row r="9" spans="2:22" s="1" customFormat="1" x14ac:dyDescent="0.35"/>
    <row r="10" spans="2:22" s="1" customFormat="1" x14ac:dyDescent="0.35"/>
    <row r="11" spans="2:22" s="1" customFormat="1" ht="15" customHeight="1" x14ac:dyDescent="0.35"/>
    <row r="12" spans="2:22" s="1" customFormat="1" ht="15" customHeight="1" thickBot="1" x14ac:dyDescent="0.4"/>
    <row r="13" spans="2:22" s="4" customFormat="1" ht="24.95" customHeight="1" thickTop="1" thickBot="1" x14ac:dyDescent="0.75">
      <c r="B13" s="11" t="str">
        <f ca="1">RIGHT(CELL("filename",B2),LEN(CELL("filename",B2))-FIND("]",CELL("filename",B2)))</f>
        <v>Outputs│Tables</v>
      </c>
      <c r="C13" s="11"/>
      <c r="D13" s="11"/>
      <c r="E13" s="11"/>
      <c r="F13" s="11"/>
      <c r="G13" s="11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5"/>
      <c r="T13" s="165"/>
      <c r="U13" s="165"/>
      <c r="V13" s="165"/>
    </row>
    <row r="14" spans="2:22" ht="13.5" thickTop="1" x14ac:dyDescent="0.35"/>
    <row r="15" spans="2:22" ht="24.95" customHeight="1" thickBot="1" x14ac:dyDescent="0.65">
      <c r="B15" s="2" t="s">
        <v>55</v>
      </c>
      <c r="C15" s="2"/>
      <c r="D15" s="2"/>
      <c r="E15" s="2"/>
      <c r="L15" s="5"/>
      <c r="M15" s="5"/>
      <c r="N15" s="5"/>
      <c r="O15" s="5"/>
    </row>
    <row r="16" spans="2:22" ht="9.9499999999999993" customHeight="1" thickTop="1" x14ac:dyDescent="0.6">
      <c r="B16" s="65"/>
      <c r="C16" s="65"/>
      <c r="D16" s="65"/>
      <c r="E16" s="65"/>
      <c r="F16" s="40"/>
      <c r="G16" s="40"/>
      <c r="L16" s="5"/>
      <c r="M16" s="5"/>
      <c r="N16" s="5"/>
      <c r="O16" s="5"/>
    </row>
    <row r="17" spans="2:15" ht="15" customHeight="1" x14ac:dyDescent="0.35">
      <c r="B17" s="54"/>
      <c r="C17" s="44">
        <f>'Input│ Historic Opex'!F15</f>
        <v>2015</v>
      </c>
      <c r="D17" s="44">
        <f>'Input│ Historic Opex'!G15</f>
        <v>2016</v>
      </c>
      <c r="E17" s="44">
        <f>'Input│ Historic Opex'!H15</f>
        <v>2017</v>
      </c>
      <c r="F17" s="44">
        <f>'Input│ Historic Opex'!I15</f>
        <v>2018</v>
      </c>
      <c r="G17" s="44">
        <f>'Input│ Forecast'!E15</f>
        <v>2019</v>
      </c>
      <c r="L17" s="5"/>
      <c r="M17" s="5"/>
      <c r="N17" s="5"/>
      <c r="O17" s="5"/>
    </row>
    <row r="18" spans="2:15" ht="15" customHeight="1" thickBot="1" x14ac:dyDescent="0.4">
      <c r="B18" s="55"/>
      <c r="C18" s="46" t="s">
        <v>51</v>
      </c>
      <c r="D18" s="46" t="s">
        <v>51</v>
      </c>
      <c r="E18" s="46" t="s">
        <v>51</v>
      </c>
      <c r="F18" s="46" t="s">
        <v>51</v>
      </c>
      <c r="G18" s="46" t="s">
        <v>51</v>
      </c>
      <c r="L18" s="5"/>
      <c r="M18" s="5"/>
      <c r="N18" s="5"/>
      <c r="O18" s="5"/>
    </row>
    <row r="19" spans="2:15" ht="15" customHeight="1" x14ac:dyDescent="0.35">
      <c r="B19" s="39" t="s">
        <v>73</v>
      </c>
      <c r="C19" s="63">
        <f>'Input│ Historic Opex'!F16/'Input│ Other'!F$19</f>
        <v>13.199305285384591</v>
      </c>
      <c r="D19" s="63">
        <f>'Input│ Historic Opex'!G16/'Input│ Other'!G$19</f>
        <v>12.801333349237998</v>
      </c>
      <c r="E19" s="63">
        <f>'Input│ Historic Opex'!H16/'Input│ Other'!H$19</f>
        <v>12.0916236607</v>
      </c>
      <c r="F19" s="63">
        <f>Calc│Forecast!E66</f>
        <v>11.720082966794209</v>
      </c>
      <c r="G19" s="63">
        <f>Calc│Forecast!F66</f>
        <v>11.738624794627137</v>
      </c>
      <c r="L19" s="5"/>
      <c r="M19" s="5"/>
      <c r="N19" s="5"/>
      <c r="O19" s="5"/>
    </row>
    <row r="20" spans="2:15" ht="15" customHeight="1" x14ac:dyDescent="0.35">
      <c r="B20" s="39" t="s">
        <v>75</v>
      </c>
      <c r="C20" s="67">
        <f>'Input│ Historic Opex'!F17/'Input│ Other'!F$19</f>
        <v>0.55634336871171586</v>
      </c>
      <c r="D20" s="67">
        <f>'Input│ Historic Opex'!G17/'Input│ Other'!G$19</f>
        <v>4.6055355690999993E-2</v>
      </c>
      <c r="E20" s="63">
        <f>'Input│ Historic Opex'!H17/'Input│ Other'!H$19</f>
        <v>0.32817522370000002</v>
      </c>
      <c r="F20" s="63">
        <f>Calc│Forecast!E67</f>
        <v>0.40161157998110708</v>
      </c>
      <c r="G20" s="63">
        <f>Calc│Forecast!F67</f>
        <v>0.4191593811831088</v>
      </c>
      <c r="L20" s="5"/>
      <c r="M20" s="5"/>
      <c r="N20" s="5"/>
      <c r="O20" s="5"/>
    </row>
    <row r="21" spans="2:15" ht="15" customHeight="1" x14ac:dyDescent="0.35">
      <c r="B21" s="39" t="s">
        <v>76</v>
      </c>
      <c r="C21" s="68">
        <f>'Input│ Historic Opex'!F18/'Input│ Other'!F$19</f>
        <v>1.0893323360430811</v>
      </c>
      <c r="D21" s="68">
        <f>'Input│ Historic Opex'!G18/'Input│ Other'!G$19</f>
        <v>0.78362518621909083</v>
      </c>
      <c r="E21" s="63">
        <f>'Input│ Historic Opex'!H18/'Input│ Other'!H$19</f>
        <v>0.60808138529999989</v>
      </c>
      <c r="F21" s="63">
        <f>Calc│Forecast!E68</f>
        <v>0.58939679949206891</v>
      </c>
      <c r="G21" s="63">
        <f>Calc│Forecast!F68</f>
        <v>0.59032925824790061</v>
      </c>
      <c r="L21" s="5"/>
      <c r="M21" s="5"/>
      <c r="N21" s="5"/>
      <c r="O21" s="5"/>
    </row>
    <row r="22" spans="2:15" ht="15" customHeight="1" x14ac:dyDescent="0.35">
      <c r="B22" s="39" t="str">
        <f>'Input│ Historic Opex'!B19</f>
        <v>Regulatory</v>
      </c>
      <c r="C22" s="67">
        <f>'Input│ Historic Opex'!F19/'Input│ Other'!F$19</f>
        <v>0.55446924357952021</v>
      </c>
      <c r="D22" s="67">
        <f>'Input│ Historic Opex'!G19/'Input│ Other'!G$19</f>
        <v>0.72395659699618176</v>
      </c>
      <c r="E22" s="63">
        <f>'Input│ Historic Opex'!H19/'Input│ Other'!H$19</f>
        <v>0.31870844459999992</v>
      </c>
      <c r="F22" s="63">
        <f>Calc│Forecast!E69</f>
        <v>0.84353756053900009</v>
      </c>
      <c r="G22" s="63">
        <f>Calc│Forecast!F69</f>
        <v>0.86459889013475011</v>
      </c>
      <c r="J22" s="50"/>
      <c r="L22" s="51"/>
      <c r="M22" s="51"/>
      <c r="N22" s="5"/>
      <c r="O22" s="5"/>
    </row>
    <row r="23" spans="2:15" ht="15" customHeight="1" thickBot="1" x14ac:dyDescent="0.4">
      <c r="B23" s="39" t="str">
        <f>Calc│Forecast!B70</f>
        <v xml:space="preserve">Corporate Costs </v>
      </c>
      <c r="C23" s="18">
        <f>'Input│ Historic Opex'!F20/'Input│ Other'!F$19</f>
        <v>6.8122636584973231</v>
      </c>
      <c r="D23" s="18">
        <f>'Input│ Historic Opex'!G20/'Input│ Other'!G$19</f>
        <v>4.6276668062259994</v>
      </c>
      <c r="E23" s="63">
        <f>'Input│ Historic Opex'!H20/'Input│ Other'!H$19</f>
        <v>2.9368448657999999</v>
      </c>
      <c r="F23" s="63">
        <f>Calc│Forecast!E70</f>
        <v>4.7889851485148514</v>
      </c>
      <c r="G23" s="63">
        <f>Calc│Forecast!F70</f>
        <v>4.7889851485148514</v>
      </c>
      <c r="J23" s="50"/>
      <c r="L23" s="51"/>
      <c r="M23" s="51"/>
      <c r="N23" s="5"/>
      <c r="O23" s="5"/>
    </row>
    <row r="24" spans="2:15" ht="15" customHeight="1" thickBot="1" x14ac:dyDescent="0.4">
      <c r="B24" s="36" t="s">
        <v>4</v>
      </c>
      <c r="C24" s="42">
        <f>SUM(C19,C20,C21,C22,C23)</f>
        <v>22.211713892216231</v>
      </c>
      <c r="D24" s="42">
        <f t="shared" ref="D24:G24" si="0">SUM(D19,D20,D21,D22,D23)</f>
        <v>18.982637294370271</v>
      </c>
      <c r="E24" s="42">
        <f t="shared" si="0"/>
        <v>16.283433580100002</v>
      </c>
      <c r="F24" s="42">
        <f t="shared" si="0"/>
        <v>18.343614055321236</v>
      </c>
      <c r="G24" s="42">
        <f t="shared" si="0"/>
        <v>18.401697472707749</v>
      </c>
      <c r="L24" s="5"/>
      <c r="M24" s="5"/>
      <c r="N24" s="5"/>
      <c r="O24" s="5"/>
    </row>
    <row r="25" spans="2:15" ht="15" customHeight="1" thickBot="1" x14ac:dyDescent="0.4">
      <c r="L25" s="5"/>
      <c r="M25" s="5"/>
      <c r="N25" s="5"/>
      <c r="O25" s="5"/>
    </row>
    <row r="26" spans="2:15" ht="15" customHeight="1" thickTop="1" thickBot="1" x14ac:dyDescent="0.4">
      <c r="B26" s="25" t="s">
        <v>53</v>
      </c>
      <c r="C26" s="49">
        <f>'Input│ Historic Opex'!F21/'Input│ Other'!F19</f>
        <v>22.211713892216231</v>
      </c>
      <c r="D26" s="49">
        <f>'Input│ Historic Opex'!G21/'Input│ Other'!G19</f>
        <v>18.982637294370274</v>
      </c>
      <c r="E26" s="49">
        <f>'Input│ Historic Opex'!H21/'Input│ Other'!H19</f>
        <v>16.283433580099999</v>
      </c>
      <c r="F26" s="49">
        <f>Calc│Forecast!E71</f>
        <v>18.343614055321236</v>
      </c>
      <c r="G26" s="49">
        <f>Calc│Forecast!F71</f>
        <v>18.401697472707749</v>
      </c>
      <c r="L26" s="5"/>
      <c r="M26" s="5"/>
      <c r="N26" s="5"/>
      <c r="O26" s="5"/>
    </row>
    <row r="27" spans="2:15" ht="15" customHeight="1" thickTop="1" thickBot="1" x14ac:dyDescent="0.4">
      <c r="B27" s="25" t="s">
        <v>54</v>
      </c>
      <c r="C27" s="43">
        <f>C24-C26</f>
        <v>0</v>
      </c>
      <c r="D27" s="43">
        <f t="shared" ref="D27:E27" si="1">D24-D26</f>
        <v>0</v>
      </c>
      <c r="E27" s="43">
        <f t="shared" si="1"/>
        <v>0</v>
      </c>
      <c r="F27" s="43">
        <f t="shared" ref="F27" si="2">F24-F26</f>
        <v>0</v>
      </c>
      <c r="G27" s="43">
        <f t="shared" ref="G27" si="3">G24-G26</f>
        <v>0</v>
      </c>
      <c r="L27" s="5"/>
      <c r="M27" s="5"/>
      <c r="N27" s="5"/>
      <c r="O27" s="5"/>
    </row>
    <row r="28" spans="2:15" ht="15" customHeight="1" thickTop="1" x14ac:dyDescent="0.35">
      <c r="L28" s="5"/>
      <c r="M28" s="5"/>
      <c r="N28" s="5"/>
      <c r="O28" s="5"/>
    </row>
    <row r="29" spans="2:15" ht="15" customHeight="1" x14ac:dyDescent="0.35">
      <c r="L29" s="5"/>
      <c r="M29" s="5"/>
      <c r="N29" s="5"/>
    </row>
    <row r="30" spans="2:15" ht="24.95" customHeight="1" thickBot="1" x14ac:dyDescent="0.65">
      <c r="B30" s="2" t="s">
        <v>111</v>
      </c>
      <c r="C30" s="2"/>
      <c r="D30" s="2"/>
      <c r="E30" s="2"/>
      <c r="L30" s="5"/>
      <c r="M30" s="5"/>
      <c r="N30" s="5"/>
      <c r="O30" s="5"/>
    </row>
    <row r="31" spans="2:15" ht="9.9499999999999993" customHeight="1" thickTop="1" x14ac:dyDescent="0.35">
      <c r="B31" s="53"/>
      <c r="C31" s="40"/>
      <c r="D31" s="40"/>
      <c r="E31" s="40"/>
      <c r="F31" s="40"/>
      <c r="G31" s="40"/>
      <c r="L31" s="5"/>
      <c r="M31" s="5"/>
      <c r="N31" s="5"/>
      <c r="O31" s="5"/>
    </row>
    <row r="32" spans="2:15" ht="15" customHeight="1" x14ac:dyDescent="0.35">
      <c r="B32" s="54"/>
      <c r="C32" s="44">
        <f>C17</f>
        <v>2015</v>
      </c>
      <c r="D32" s="44">
        <f t="shared" ref="D32:G32" si="4">D17</f>
        <v>2016</v>
      </c>
      <c r="E32" s="44">
        <f t="shared" si="4"/>
        <v>2017</v>
      </c>
      <c r="F32" s="44">
        <f t="shared" si="4"/>
        <v>2018</v>
      </c>
      <c r="G32" s="44">
        <f t="shared" si="4"/>
        <v>2019</v>
      </c>
      <c r="L32" s="5"/>
      <c r="M32" s="5"/>
      <c r="N32" s="5"/>
      <c r="O32" s="5"/>
    </row>
    <row r="33" spans="2:15" ht="15" customHeight="1" thickBot="1" x14ac:dyDescent="0.4">
      <c r="B33" s="55"/>
      <c r="C33" s="41" t="s">
        <v>50</v>
      </c>
      <c r="D33" s="41" t="s">
        <v>50</v>
      </c>
      <c r="E33" s="41" t="s">
        <v>50</v>
      </c>
      <c r="F33" s="41" t="s">
        <v>50</v>
      </c>
      <c r="G33" s="41" t="s">
        <v>50</v>
      </c>
      <c r="L33" s="5"/>
      <c r="M33" s="5"/>
      <c r="N33" s="5"/>
      <c r="O33" s="5"/>
    </row>
    <row r="34" spans="2:15" ht="15" customHeight="1" x14ac:dyDescent="0.35">
      <c r="B34" s="39" t="str">
        <f>'Input│ Historic Opex'!B16</f>
        <v>Pipeline operations</v>
      </c>
      <c r="C34" s="47">
        <f>'Input│ Historic Opex'!F16</f>
        <v>12.529347</v>
      </c>
      <c r="D34" s="47">
        <f>'Input│ Historic Opex'!G16</f>
        <v>12.330933999999999</v>
      </c>
      <c r="E34" s="47">
        <f>'Input│ Historic Opex'!H16</f>
        <v>11.869661000000001</v>
      </c>
      <c r="F34" s="48">
        <f>Calc│Forecast!E66</f>
        <v>11.720082966794209</v>
      </c>
      <c r="G34" s="48">
        <f>Calc│Forecast!F66*'Input│ Other'!J$19</f>
        <v>11.958137078286663</v>
      </c>
      <c r="L34" s="5"/>
      <c r="M34" s="5"/>
      <c r="N34" s="5"/>
      <c r="O34" s="5"/>
    </row>
    <row r="35" spans="2:15" ht="15" customHeight="1" x14ac:dyDescent="0.35">
      <c r="B35" s="39" t="str">
        <f>'Input│ Historic Opex'!B17</f>
        <v>Major expenditure jobs</v>
      </c>
      <c r="C35" s="47">
        <f>'Input│ Historic Opex'!F17</f>
        <v>0.52810500000000005</v>
      </c>
      <c r="D35" s="47">
        <f>'Input│ Historic Opex'!G17</f>
        <v>4.4363E-2</v>
      </c>
      <c r="E35" s="47">
        <f>'Input│ Historic Opex'!H17</f>
        <v>0.32215100000000002</v>
      </c>
      <c r="F35" s="48">
        <f>Calc│Forecast!E67</f>
        <v>0.40161157998110708</v>
      </c>
      <c r="G35" s="48">
        <f>Calc│Forecast!F67*'Input│ Other'!J$19</f>
        <v>0.42699766161123293</v>
      </c>
      <c r="L35" s="5"/>
      <c r="M35" s="5"/>
      <c r="N35" s="5"/>
      <c r="O35" s="5"/>
    </row>
    <row r="36" spans="2:15" ht="15" customHeight="1" x14ac:dyDescent="0.35">
      <c r="B36" s="39" t="str">
        <f>'Input│ Historic Opex'!B18</f>
        <v>Commercial operations</v>
      </c>
      <c r="C36" s="47">
        <f>'Input│ Historic Opex'!F18</f>
        <v>1.034041</v>
      </c>
      <c r="D36" s="47">
        <f>'Input│ Historic Opex'!G18</f>
        <v>0.75483</v>
      </c>
      <c r="E36" s="47">
        <f>'Input│ Historic Opex'!H18</f>
        <v>0.59691899999999998</v>
      </c>
      <c r="F36" s="48">
        <f>Calc│Forecast!E68</f>
        <v>0.58939679949206891</v>
      </c>
      <c r="G36" s="48">
        <f>Calc│Forecast!F68*'Input│ Other'!J$19</f>
        <v>0.60136841537713637</v>
      </c>
      <c r="L36" s="5"/>
      <c r="M36" s="5"/>
      <c r="N36" s="5"/>
      <c r="O36" s="5"/>
    </row>
    <row r="37" spans="2:15" ht="15" customHeight="1" x14ac:dyDescent="0.35">
      <c r="B37" s="39" t="str">
        <f>'Input│ Historic Opex'!B19</f>
        <v>Regulatory</v>
      </c>
      <c r="C37" s="47">
        <f>'Input│ Historic Opex'!F19</f>
        <v>0.52632599999999996</v>
      </c>
      <c r="D37" s="47">
        <f>'Input│ Historic Opex'!G19</f>
        <v>0.69735400000000003</v>
      </c>
      <c r="E37" s="47">
        <f>'Input│ Historic Opex'!H19</f>
        <v>0.31285799999999997</v>
      </c>
      <c r="F37" s="48">
        <f>Calc│Forecast!E69</f>
        <v>0.84353756053900009</v>
      </c>
      <c r="G37" s="48">
        <f>Calc│Forecast!F69*'Input│ Other'!J$19</f>
        <v>0.88076688938026992</v>
      </c>
      <c r="L37" s="5"/>
      <c r="M37" s="5"/>
      <c r="N37" s="5"/>
      <c r="O37" s="5"/>
    </row>
    <row r="38" spans="2:15" ht="15" customHeight="1" thickBot="1" x14ac:dyDescent="0.4">
      <c r="B38" s="39" t="str">
        <f>'Input│ Historic Opex'!B20</f>
        <v>Corporate costs</v>
      </c>
      <c r="C38" s="18">
        <f>'Input│ Historic Opex'!F20</f>
        <v>6.4664929999999998</v>
      </c>
      <c r="D38" s="18">
        <f>'Input│ Historic Opex'!G20</f>
        <v>4.4576180000000001</v>
      </c>
      <c r="E38" s="18">
        <f>'Input│ Historic Opex'!H20</f>
        <v>2.8829340000000001</v>
      </c>
      <c r="F38" s="48">
        <f>Calc│Forecast!E70</f>
        <v>4.7889851485148514</v>
      </c>
      <c r="G38" s="48">
        <f>Calc│Forecast!F70*'Input│ Other'!J$19</f>
        <v>4.8785391707920791</v>
      </c>
      <c r="L38" s="5"/>
      <c r="M38" s="5"/>
      <c r="N38" s="5"/>
      <c r="O38" s="5"/>
    </row>
    <row r="39" spans="2:15" ht="20.100000000000001" customHeight="1" thickBot="1" x14ac:dyDescent="0.4">
      <c r="B39" s="161" t="str">
        <f>'Input│ Historic Opex'!B21</f>
        <v>Total operating expenditure</v>
      </c>
      <c r="C39" s="42">
        <f>SUM(C34:C38)</f>
        <v>21.084311999999997</v>
      </c>
      <c r="D39" s="42">
        <f t="shared" ref="D39:G39" si="5">SUM(D34:D38)</f>
        <v>18.285099000000002</v>
      </c>
      <c r="E39" s="42">
        <f t="shared" si="5"/>
        <v>15.984523000000001</v>
      </c>
      <c r="F39" s="42">
        <f t="shared" si="5"/>
        <v>18.343614055321236</v>
      </c>
      <c r="G39" s="42">
        <f t="shared" si="5"/>
        <v>18.74580921544738</v>
      </c>
      <c r="L39" s="5"/>
      <c r="M39" s="5"/>
      <c r="N39" s="5"/>
      <c r="O39" s="5"/>
    </row>
    <row r="40" spans="2:15" ht="15" customHeight="1" x14ac:dyDescent="0.35">
      <c r="L40" s="5"/>
      <c r="M40" s="5"/>
      <c r="N40" s="5"/>
    </row>
    <row r="41" spans="2:15" ht="15" customHeight="1" x14ac:dyDescent="0.35">
      <c r="B41" s="17"/>
      <c r="C41" s="19"/>
      <c r="D41" s="19"/>
      <c r="E41" s="19"/>
      <c r="F41" s="19"/>
      <c r="G41" s="19"/>
      <c r="L41" s="5"/>
      <c r="M41" s="5"/>
      <c r="N41" s="5"/>
      <c r="O41" s="5"/>
    </row>
    <row r="42" spans="2:15" ht="24.95" customHeight="1" thickBot="1" x14ac:dyDescent="0.65">
      <c r="B42" s="2" t="s">
        <v>112</v>
      </c>
      <c r="C42" s="2"/>
      <c r="D42" s="2"/>
      <c r="E42" s="2"/>
      <c r="F42" s="2"/>
      <c r="G42" s="2"/>
      <c r="L42" s="5"/>
      <c r="M42" s="5"/>
      <c r="N42" s="5"/>
      <c r="O42" s="5"/>
    </row>
    <row r="43" spans="2:15" ht="9.9499999999999993" customHeight="1" thickTop="1" x14ac:dyDescent="0.35">
      <c r="L43" s="5"/>
      <c r="M43" s="5"/>
      <c r="N43" s="5"/>
      <c r="O43" s="5"/>
    </row>
    <row r="44" spans="2:15" ht="15" customHeight="1" x14ac:dyDescent="0.35">
      <c r="B44" s="69"/>
      <c r="C44" s="70">
        <v>2020</v>
      </c>
      <c r="D44" s="70">
        <v>2021</v>
      </c>
      <c r="E44" s="70">
        <v>2022</v>
      </c>
      <c r="F44" s="70">
        <v>2023</v>
      </c>
      <c r="G44" s="70">
        <v>2024</v>
      </c>
      <c r="L44" s="5"/>
      <c r="M44" s="5"/>
      <c r="N44" s="5"/>
      <c r="O44" s="5"/>
    </row>
    <row r="45" spans="2:15" ht="15" customHeight="1" thickBot="1" x14ac:dyDescent="0.4">
      <c r="B45" s="35"/>
      <c r="C45" s="41" t="s">
        <v>50</v>
      </c>
      <c r="D45" s="41" t="s">
        <v>50</v>
      </c>
      <c r="E45" s="41" t="s">
        <v>50</v>
      </c>
      <c r="F45" s="41" t="s">
        <v>50</v>
      </c>
      <c r="G45" s="41" t="s">
        <v>50</v>
      </c>
      <c r="L45" s="5"/>
      <c r="M45" s="5"/>
      <c r="N45" s="5"/>
      <c r="O45" s="5"/>
    </row>
    <row r="46" spans="2:15" ht="15" customHeight="1" x14ac:dyDescent="0.35">
      <c r="B46" s="17" t="str">
        <f>'Input│ Forecast'!B21</f>
        <v xml:space="preserve">Easement Maintenance; Line of Sight &amp; Erosion repairs </v>
      </c>
      <c r="C46" s="18">
        <f>'Input│ Forecast'!F21</f>
        <v>0.2</v>
      </c>
      <c r="D46" s="18">
        <f>'Input│ Forecast'!G21</f>
        <v>0.2</v>
      </c>
      <c r="E46" s="18">
        <f>'Input│ Forecast'!H21</f>
        <v>0.2</v>
      </c>
      <c r="F46" s="18">
        <f>'Input│ Forecast'!I21</f>
        <v>0.2</v>
      </c>
      <c r="G46" s="18">
        <f>'Input│ Forecast'!J21</f>
        <v>0.2</v>
      </c>
      <c r="L46" s="5"/>
      <c r="M46" s="5"/>
      <c r="N46" s="5"/>
      <c r="O46" s="5"/>
    </row>
    <row r="47" spans="2:15" ht="15" customHeight="1" x14ac:dyDescent="0.35">
      <c r="B47" s="17" t="str">
        <f>'Input│ Forecast'!B22</f>
        <v>Easement marker sign replacement program</v>
      </c>
      <c r="C47" s="18">
        <f>'Input│ Forecast'!F22</f>
        <v>0.08</v>
      </c>
      <c r="D47" s="18">
        <f>'Input│ Forecast'!G22</f>
        <v>0.08</v>
      </c>
      <c r="E47" s="18">
        <f>'Input│ Forecast'!H22</f>
        <v>0.08</v>
      </c>
      <c r="F47" s="18">
        <f>'Input│ Forecast'!I22</f>
        <v>0.08</v>
      </c>
      <c r="G47" s="18">
        <f>'Input│ Forecast'!J22</f>
        <v>0.08</v>
      </c>
      <c r="L47" s="5"/>
      <c r="M47" s="5"/>
      <c r="N47" s="5"/>
      <c r="O47" s="5"/>
    </row>
    <row r="48" spans="2:15" ht="15" customHeight="1" x14ac:dyDescent="0.35">
      <c r="B48" s="17" t="str">
        <f>'Input│ Forecast'!B23</f>
        <v>Pipeline Integrity Management Plan (PIMP)</v>
      </c>
      <c r="C48" s="18">
        <f>'Input│ Forecast'!F23</f>
        <v>0</v>
      </c>
      <c r="D48" s="18">
        <f>'Input│ Forecast'!G23</f>
        <v>0</v>
      </c>
      <c r="E48" s="18">
        <f>'Input│ Forecast'!H23</f>
        <v>5.5E-2</v>
      </c>
      <c r="F48" s="18">
        <f>'Input│ Forecast'!I23</f>
        <v>0</v>
      </c>
      <c r="G48" s="18">
        <f>'Input│ Forecast'!J23</f>
        <v>0</v>
      </c>
      <c r="L48" s="5"/>
      <c r="M48" s="5"/>
      <c r="N48" s="5"/>
      <c r="O48" s="5"/>
    </row>
    <row r="49" spans="2:15" ht="15" customHeight="1" x14ac:dyDescent="0.35">
      <c r="B49" s="17" t="str">
        <f>'Input│ Forecast'!B24</f>
        <v>Safety Management System Review (SMS)</v>
      </c>
      <c r="C49" s="18">
        <f>'Input│ Forecast'!F24</f>
        <v>5.5E-2</v>
      </c>
      <c r="D49" s="18">
        <f>'Input│ Forecast'!G24</f>
        <v>0</v>
      </c>
      <c r="E49" s="18">
        <f>'Input│ Forecast'!H24</f>
        <v>0</v>
      </c>
      <c r="F49" s="18">
        <f>'Input│ Forecast'!I24</f>
        <v>0</v>
      </c>
      <c r="G49" s="18">
        <f>'Input│ Forecast'!J24</f>
        <v>0</v>
      </c>
      <c r="L49" s="5"/>
      <c r="M49" s="5"/>
      <c r="N49" s="5"/>
      <c r="O49" s="5"/>
    </row>
    <row r="50" spans="2:15" ht="15" customHeight="1" x14ac:dyDescent="0.35">
      <c r="B50" s="17" t="s">
        <v>59</v>
      </c>
      <c r="C50" s="18">
        <f>'Input│ Forecast'!F25+'Input│ Forecast'!F27</f>
        <v>0.17499999999999999</v>
      </c>
      <c r="D50" s="18">
        <f>'Input│ Forecast'!G25+'Input│ Forecast'!G27</f>
        <v>0.3</v>
      </c>
      <c r="E50" s="18">
        <f>'Input│ Forecast'!H25+'Input│ Forecast'!H27</f>
        <v>0.25</v>
      </c>
      <c r="F50" s="18">
        <f>'Input│ Forecast'!I25+'Input│ Forecast'!I27</f>
        <v>0.05</v>
      </c>
      <c r="G50" s="18">
        <f>'Input│ Forecast'!J25+'Input│ Forecast'!J27</f>
        <v>0.15</v>
      </c>
      <c r="L50" s="5"/>
      <c r="M50" s="5"/>
      <c r="N50" s="5"/>
      <c r="O50" s="5"/>
    </row>
    <row r="51" spans="2:15" ht="15" customHeight="1" thickBot="1" x14ac:dyDescent="0.4">
      <c r="B51" s="17" t="s">
        <v>60</v>
      </c>
      <c r="C51" s="18">
        <f>'Input│ Forecast'!F26+'Input│ Forecast'!F28</f>
        <v>0.05</v>
      </c>
      <c r="D51" s="18">
        <f>'Input│ Forecast'!G26+'Input│ Forecast'!G28</f>
        <v>0.1</v>
      </c>
      <c r="E51" s="18">
        <f>'Input│ Forecast'!H26+'Input│ Forecast'!H28</f>
        <v>8.5000000000000006E-2</v>
      </c>
      <c r="F51" s="18">
        <f>'Input│ Forecast'!I26+'Input│ Forecast'!I28</f>
        <v>7.0000000000000007E-2</v>
      </c>
      <c r="G51" s="18">
        <f>'Input│ Forecast'!J26+'Input│ Forecast'!J28</f>
        <v>7.0000000000000007E-2</v>
      </c>
      <c r="L51" s="5"/>
      <c r="M51" s="5"/>
      <c r="N51" s="5"/>
      <c r="O51" s="5"/>
    </row>
    <row r="52" spans="2:15" ht="20.100000000000001" customHeight="1" thickBot="1" x14ac:dyDescent="0.4">
      <c r="B52" s="159" t="s">
        <v>49</v>
      </c>
      <c r="C52" s="37">
        <f>SUM(C46:C51)</f>
        <v>0.56000000000000005</v>
      </c>
      <c r="D52" s="37">
        <f>SUM(D46:D51)</f>
        <v>0.68</v>
      </c>
      <c r="E52" s="37">
        <f>SUM(E46:E51)</f>
        <v>0.66999999999999993</v>
      </c>
      <c r="F52" s="37">
        <f>SUM(F46:F51)</f>
        <v>0.4</v>
      </c>
      <c r="G52" s="37">
        <f>SUM(G46:G51)</f>
        <v>0.5</v>
      </c>
      <c r="L52" s="5"/>
      <c r="M52" s="5"/>
      <c r="N52" s="5"/>
      <c r="O52" s="5"/>
    </row>
    <row r="53" spans="2:15" ht="15" customHeight="1" x14ac:dyDescent="0.35">
      <c r="L53" s="5"/>
      <c r="M53" s="5"/>
      <c r="N53" s="5"/>
      <c r="O53" s="5"/>
    </row>
    <row r="54" spans="2:15" ht="15" customHeight="1" x14ac:dyDescent="0.35">
      <c r="L54" s="5"/>
      <c r="M54" s="5"/>
      <c r="N54" s="5"/>
      <c r="O54" s="5"/>
    </row>
    <row r="55" spans="2:15" ht="24.95" customHeight="1" thickBot="1" x14ac:dyDescent="0.65">
      <c r="B55" s="2" t="s">
        <v>24</v>
      </c>
      <c r="C55" s="2"/>
      <c r="D55" s="2"/>
      <c r="E55" s="2"/>
      <c r="F55" s="2"/>
      <c r="G55" s="2"/>
      <c r="L55" s="5"/>
      <c r="M55" s="5"/>
      <c r="N55" s="5"/>
      <c r="O55" s="5"/>
    </row>
    <row r="56" spans="2:15" ht="9.9499999999999993" customHeight="1" thickTop="1" x14ac:dyDescent="0.35">
      <c r="L56" s="5"/>
      <c r="M56" s="5"/>
      <c r="N56" s="5"/>
      <c r="O56" s="5"/>
    </row>
    <row r="57" spans="2:15" ht="15" customHeight="1" x14ac:dyDescent="0.35">
      <c r="B57" s="69"/>
      <c r="C57" s="70">
        <v>2020</v>
      </c>
      <c r="D57" s="70">
        <v>2021</v>
      </c>
      <c r="E57" s="70">
        <v>2022</v>
      </c>
      <c r="F57" s="70">
        <v>2023</v>
      </c>
      <c r="G57" s="70">
        <v>2024</v>
      </c>
      <c r="L57" s="5"/>
      <c r="M57" s="5"/>
      <c r="N57" s="5"/>
      <c r="O57" s="5"/>
    </row>
    <row r="58" spans="2:15" ht="15" customHeight="1" thickBot="1" x14ac:dyDescent="0.4">
      <c r="B58" s="35"/>
      <c r="C58" s="41" t="s">
        <v>25</v>
      </c>
      <c r="D58" s="41" t="s">
        <v>25</v>
      </c>
      <c r="E58" s="41" t="s">
        <v>25</v>
      </c>
      <c r="F58" s="41" t="s">
        <v>25</v>
      </c>
      <c r="G58" s="41" t="s">
        <v>25</v>
      </c>
      <c r="L58" s="5"/>
      <c r="M58" s="5"/>
      <c r="N58" s="5"/>
      <c r="O58" s="5"/>
    </row>
    <row r="59" spans="2:15" ht="15" customHeight="1" x14ac:dyDescent="0.35">
      <c r="B59" s="17" t="str">
        <f>'Input│ Forecast'!B50</f>
        <v>Treasury Forecast WPI growth (1/2 year lag)</v>
      </c>
      <c r="C59" s="18">
        <f>'Input│ Forecast'!D50*100</f>
        <v>1.5</v>
      </c>
      <c r="D59" s="18">
        <f>'Input│ Forecast'!E50*100</f>
        <v>1.7500000000000002</v>
      </c>
      <c r="E59" s="18">
        <f>'Input│ Forecast'!F50*100</f>
        <v>2.75</v>
      </c>
      <c r="F59" s="18">
        <f>'Input│ Forecast'!G50*100</f>
        <v>3</v>
      </c>
      <c r="G59" s="18">
        <f>'Input│ Forecast'!H50*100</f>
        <v>3.25</v>
      </c>
      <c r="L59" s="5"/>
      <c r="M59" s="5"/>
      <c r="N59" s="5"/>
      <c r="O59" s="5"/>
    </row>
    <row r="60" spans="2:15" ht="15" customHeight="1" x14ac:dyDescent="0.35">
      <c r="B60" s="17" t="str">
        <f>'Input│ Forecast'!B51</f>
        <v>Premium of EGWWS WPI over Australian All industires</v>
      </c>
      <c r="C60" s="18">
        <f>'Input│ Forecast'!D51*100</f>
        <v>0.48165207882550404</v>
      </c>
      <c r="D60" s="18">
        <f>'Input│ Forecast'!E51*100</f>
        <v>0.48165207882550404</v>
      </c>
      <c r="E60" s="18">
        <f>'Input│ Forecast'!F51*100</f>
        <v>0.48165207882550404</v>
      </c>
      <c r="F60" s="18">
        <f>'Input│ Forecast'!G51*100</f>
        <v>0.48165207882550404</v>
      </c>
      <c r="G60" s="18">
        <f>'Input│ Forecast'!H51*100</f>
        <v>0.48165207882550404</v>
      </c>
      <c r="L60" s="5"/>
      <c r="M60" s="5"/>
      <c r="N60" s="5"/>
      <c r="O60" s="5"/>
    </row>
    <row r="61" spans="2:15" ht="15" customHeight="1" x14ac:dyDescent="0.35">
      <c r="B61" s="17" t="str">
        <f>'Input│ Forecast'!B52</f>
        <v>Nominal Labour Escalation Forecast per annum</v>
      </c>
      <c r="C61" s="18">
        <f>'Input│ Forecast'!D52*100</f>
        <v>1.9816520788255041</v>
      </c>
      <c r="D61" s="18">
        <f>'Input│ Forecast'!E52*100</f>
        <v>2.2316520788255043</v>
      </c>
      <c r="E61" s="18">
        <f>'Input│ Forecast'!F52*100</f>
        <v>3.2316520788255039</v>
      </c>
      <c r="F61" s="18">
        <f>'Input│ Forecast'!G52*100</f>
        <v>3.4816520788255043</v>
      </c>
      <c r="G61" s="18">
        <f>'Input│ Forecast'!H52*100</f>
        <v>3.7316520788255043</v>
      </c>
      <c r="L61" s="5"/>
      <c r="M61" s="5"/>
      <c r="N61" s="5"/>
      <c r="O61" s="5"/>
    </row>
    <row r="62" spans="2:15" ht="15" customHeight="1" x14ac:dyDescent="0.35">
      <c r="B62" s="17" t="str">
        <f>'Input│ Forecast'!B53</f>
        <v>Forecast inflation</v>
      </c>
      <c r="C62" s="18">
        <f>'Input│ Forecast'!D53*100</f>
        <v>1.87</v>
      </c>
      <c r="D62" s="18">
        <f>'Input│ Forecast'!E53*100</f>
        <v>1.87</v>
      </c>
      <c r="E62" s="18">
        <f>'Input│ Forecast'!F53*100</f>
        <v>1.87</v>
      </c>
      <c r="F62" s="18">
        <f>'Input│ Forecast'!G53*100</f>
        <v>1.87</v>
      </c>
      <c r="G62" s="18">
        <f>'Input│ Forecast'!H53*100</f>
        <v>1.87</v>
      </c>
      <c r="L62" s="5"/>
      <c r="M62" s="5"/>
      <c r="N62" s="5"/>
      <c r="O62" s="5"/>
    </row>
    <row r="63" spans="2:15" ht="15" customHeight="1" x14ac:dyDescent="0.35">
      <c r="B63" s="17" t="str">
        <f>'Input│ Forecast'!B54</f>
        <v>ERA consistent Labour Escalation Factor</v>
      </c>
      <c r="C63" s="18">
        <f>'Input│ Forecast'!D54*100</f>
        <v>0.11165207882550404</v>
      </c>
      <c r="D63" s="18">
        <f>'Input│ Forecast'!E54*100</f>
        <v>0.36165207882550426</v>
      </c>
      <c r="E63" s="18">
        <f>'Input│ Forecast'!F54*100</f>
        <v>1.3616520788255038</v>
      </c>
      <c r="F63" s="18">
        <f>'Input│ Forecast'!G54*100</f>
        <v>1.611652078825504</v>
      </c>
      <c r="G63" s="18">
        <f>'Input│ Forecast'!H54*100</f>
        <v>1.8616520788255042</v>
      </c>
      <c r="L63" s="5"/>
      <c r="M63" s="5"/>
      <c r="N63" s="5"/>
      <c r="O63" s="5"/>
    </row>
    <row r="64" spans="2:15" ht="15" customHeight="1" thickBot="1" x14ac:dyDescent="0.4">
      <c r="B64" s="17" t="str">
        <f>'Input│ Forecast'!B55</f>
        <v>Labour Escalation Factor</v>
      </c>
      <c r="C64" s="18">
        <f>'Input│ Forecast'!D55*100</f>
        <v>0.11165207882550404</v>
      </c>
      <c r="D64" s="18">
        <f>'Input│ Forecast'!E55*100</f>
        <v>0.36165207882550426</v>
      </c>
      <c r="E64" s="18">
        <f>'Input│ Forecast'!F55*100</f>
        <v>1.3616520788255038</v>
      </c>
      <c r="F64" s="18">
        <f>'Input│ Forecast'!G55*100</f>
        <v>1.611652078825504</v>
      </c>
      <c r="G64" s="18">
        <f>'Input│ Forecast'!H55*100</f>
        <v>1.8616520788255042</v>
      </c>
      <c r="L64" s="5"/>
      <c r="M64" s="5"/>
      <c r="N64" s="5"/>
      <c r="O64" s="5"/>
    </row>
    <row r="65" spans="2:15" ht="20.100000000000001" customHeight="1" thickBot="1" x14ac:dyDescent="0.4">
      <c r="B65" s="160" t="str">
        <f>'Input│ Forecast'!B56</f>
        <v>Index</v>
      </c>
      <c r="C65" s="38">
        <f>'Input│ Forecast'!D56</f>
        <v>1.0011165207882551</v>
      </c>
      <c r="D65" s="38">
        <f>'Input│ Forecast'!E56</f>
        <v>1.0047370794971513</v>
      </c>
      <c r="E65" s="38">
        <f>'Input│ Forecast'!F56</f>
        <v>1.0184181028268549</v>
      </c>
      <c r="F65" s="38">
        <f>'Input│ Forecast'!G56</f>
        <v>1.034831459352199</v>
      </c>
      <c r="G65" s="38">
        <f>'Input│ Forecast'!H56</f>
        <v>1.0540964207275694</v>
      </c>
      <c r="L65" s="5"/>
      <c r="M65" s="5"/>
      <c r="N65" s="5"/>
      <c r="O65" s="5"/>
    </row>
    <row r="66" spans="2:15" ht="15" customHeight="1" x14ac:dyDescent="0.35">
      <c r="L66" s="5"/>
      <c r="M66" s="5"/>
      <c r="N66" s="5"/>
      <c r="O66" s="5"/>
    </row>
    <row r="67" spans="2:15" ht="15" customHeight="1" x14ac:dyDescent="0.35">
      <c r="L67" s="5"/>
      <c r="M67" s="5"/>
      <c r="N67" s="5"/>
      <c r="O67" s="5"/>
    </row>
    <row r="68" spans="2:15" ht="24.95" customHeight="1" thickBot="1" x14ac:dyDescent="0.65">
      <c r="B68" s="2" t="s">
        <v>110</v>
      </c>
      <c r="C68" s="2"/>
      <c r="D68" s="2"/>
      <c r="E68" s="2"/>
      <c r="F68" s="2"/>
      <c r="G68" s="2"/>
      <c r="L68" s="5"/>
      <c r="M68" s="5"/>
      <c r="N68" s="5"/>
      <c r="O68" s="5"/>
    </row>
    <row r="69" spans="2:15" ht="9.9499999999999993" customHeight="1" thickTop="1" x14ac:dyDescent="0.6">
      <c r="B69" s="65"/>
      <c r="C69" s="65"/>
      <c r="D69" s="65"/>
      <c r="E69" s="65"/>
      <c r="F69" s="65"/>
      <c r="G69" s="65"/>
      <c r="L69" s="5"/>
      <c r="M69" s="5"/>
      <c r="N69" s="5"/>
      <c r="O69" s="5"/>
    </row>
    <row r="70" spans="2:15" ht="15" customHeight="1" x14ac:dyDescent="0.35">
      <c r="B70" s="54"/>
      <c r="C70" s="70">
        <f>C57</f>
        <v>2020</v>
      </c>
      <c r="D70" s="70">
        <f t="shared" ref="D70:G70" si="6">D57</f>
        <v>2021</v>
      </c>
      <c r="E70" s="70">
        <f t="shared" si="6"/>
        <v>2022</v>
      </c>
      <c r="F70" s="70">
        <f t="shared" si="6"/>
        <v>2023</v>
      </c>
      <c r="G70" s="70">
        <f t="shared" si="6"/>
        <v>2024</v>
      </c>
      <c r="L70" s="5"/>
      <c r="M70" s="5"/>
      <c r="N70" s="5"/>
      <c r="O70" s="5"/>
    </row>
    <row r="71" spans="2:15" ht="15" customHeight="1" thickBot="1" x14ac:dyDescent="0.4">
      <c r="B71" s="35"/>
      <c r="C71" s="41" t="s">
        <v>50</v>
      </c>
      <c r="D71" s="41" t="s">
        <v>50</v>
      </c>
      <c r="E71" s="41" t="s">
        <v>50</v>
      </c>
      <c r="F71" s="41" t="s">
        <v>50</v>
      </c>
      <c r="G71" s="41" t="s">
        <v>50</v>
      </c>
      <c r="L71" s="5"/>
      <c r="M71" s="5"/>
      <c r="N71" s="5"/>
      <c r="O71" s="5"/>
    </row>
    <row r="72" spans="2:15" ht="15" customHeight="1" x14ac:dyDescent="0.35">
      <c r="B72" s="39" t="str">
        <f>'Input│ Historic Opex'!B16</f>
        <v>Pipeline operations</v>
      </c>
      <c r="C72" s="18">
        <f>Calc│Forecast!G66</f>
        <v>11.742291795899607</v>
      </c>
      <c r="D72" s="18">
        <f>Calc│Forecast!H66</f>
        <v>11.791880136396593</v>
      </c>
      <c r="E72" s="18">
        <f>Calc│Forecast!I66</f>
        <v>11.993428985724696</v>
      </c>
      <c r="F72" s="18">
        <f>Calc│Forecast!J66</f>
        <v>12.435970988333715</v>
      </c>
      <c r="G72" s="18">
        <f>Calc│Forecast!K66</f>
        <v>12.542250106555871</v>
      </c>
      <c r="L72" s="5"/>
      <c r="M72" s="5"/>
      <c r="N72" s="5"/>
      <c r="O72" s="5"/>
    </row>
    <row r="73" spans="2:15" ht="15" customHeight="1" x14ac:dyDescent="0.35">
      <c r="B73" s="39" t="str">
        <f>'Input│ Historic Opex'!B17</f>
        <v>Major expenditure jobs</v>
      </c>
      <c r="C73" s="18">
        <f>Calc│Forecast!G67</f>
        <v>0.56000000000000005</v>
      </c>
      <c r="D73" s="18">
        <f>Calc│Forecast!H67</f>
        <v>0.68</v>
      </c>
      <c r="E73" s="18">
        <f>Calc│Forecast!I67</f>
        <v>0.67000000000000015</v>
      </c>
      <c r="F73" s="18">
        <f>Calc│Forecast!J67</f>
        <v>0.4</v>
      </c>
      <c r="G73" s="18">
        <f>Calc│Forecast!K67</f>
        <v>0.5</v>
      </c>
      <c r="L73" s="5"/>
      <c r="M73" s="5"/>
      <c r="N73" s="5"/>
      <c r="O73" s="5"/>
    </row>
    <row r="74" spans="2:15" ht="15" customHeight="1" x14ac:dyDescent="0.35">
      <c r="B74" s="39" t="str">
        <f>'Input│ Historic Opex'!B18</f>
        <v>Commercial operations</v>
      </c>
      <c r="C74" s="18">
        <f>Calc│Forecast!G68</f>
        <v>0.59051366981050235</v>
      </c>
      <c r="D74" s="18">
        <f>Calc│Forecast!H68</f>
        <v>0.59300744133616934</v>
      </c>
      <c r="E74" s="18">
        <f>Calc│Forecast!I68</f>
        <v>0.60314322681412713</v>
      </c>
      <c r="F74" s="18">
        <f>Calc│Forecast!J68</f>
        <v>0.62539843104071557</v>
      </c>
      <c r="G74" s="18">
        <f>Calc│Forecast!K68</f>
        <v>0.63074315191943753</v>
      </c>
      <c r="L74" s="5"/>
      <c r="M74" s="5"/>
      <c r="N74" s="5"/>
      <c r="O74" s="5"/>
    </row>
    <row r="75" spans="2:15" ht="15" customHeight="1" x14ac:dyDescent="0.35">
      <c r="B75" s="39" t="str">
        <f>'Input│ Historic Opex'!B19</f>
        <v>Regulatory</v>
      </c>
      <c r="C75" s="18">
        <f>Calc│Forecast!G69</f>
        <v>1.2110000000000001</v>
      </c>
      <c r="D75" s="18">
        <f>Calc│Forecast!H69</f>
        <v>1.091</v>
      </c>
      <c r="E75" s="18">
        <f>Calc│Forecast!I69</f>
        <v>1.091</v>
      </c>
      <c r="F75" s="18">
        <f>Calc│Forecast!J69</f>
        <v>1.091</v>
      </c>
      <c r="G75" s="18">
        <f>Calc│Forecast!K69</f>
        <v>1.091</v>
      </c>
      <c r="L75" s="5"/>
      <c r="M75" s="5"/>
      <c r="N75" s="5"/>
      <c r="O75" s="5"/>
    </row>
    <row r="76" spans="2:15" ht="15" customHeight="1" thickBot="1" x14ac:dyDescent="0.4">
      <c r="B76" s="39" t="str">
        <f>'Input│ Historic Opex'!B20</f>
        <v>Corporate costs</v>
      </c>
      <c r="C76" s="18">
        <f>Calc│Forecast!G70</f>
        <v>4.7889851485148514</v>
      </c>
      <c r="D76" s="18">
        <f>Calc│Forecast!H70</f>
        <v>4.7889851485148514</v>
      </c>
      <c r="E76" s="18">
        <f>Calc│Forecast!I70</f>
        <v>4.7889851485148514</v>
      </c>
      <c r="F76" s="18">
        <f>Calc│Forecast!J70</f>
        <v>4.7889851485148514</v>
      </c>
      <c r="G76" s="18">
        <f>Calc│Forecast!K70</f>
        <v>4.7889851485148514</v>
      </c>
      <c r="L76" s="5"/>
      <c r="M76" s="5"/>
      <c r="N76" s="5"/>
      <c r="O76" s="5"/>
    </row>
    <row r="77" spans="2:15" ht="20.100000000000001" customHeight="1" thickBot="1" x14ac:dyDescent="0.4">
      <c r="B77" s="161" t="str">
        <f>'Input│ Historic Opex'!B21</f>
        <v>Total operating expenditure</v>
      </c>
      <c r="C77" s="167">
        <f>SUM(C72:C76)</f>
        <v>18.89279061422496</v>
      </c>
      <c r="D77" s="167">
        <f t="shared" ref="D77:G77" si="7">SUM(D72:D76)</f>
        <v>18.944872726247613</v>
      </c>
      <c r="E77" s="167">
        <f t="shared" si="7"/>
        <v>19.146557361053674</v>
      </c>
      <c r="F77" s="167">
        <f t="shared" si="7"/>
        <v>19.34135456788928</v>
      </c>
      <c r="G77" s="167">
        <f t="shared" si="7"/>
        <v>19.55297840699016</v>
      </c>
      <c r="L77" s="5"/>
      <c r="M77" s="5"/>
      <c r="N77" s="5"/>
      <c r="O77" s="5"/>
    </row>
    <row r="78" spans="2:15" ht="15" customHeight="1" x14ac:dyDescent="0.35">
      <c r="L78" s="5"/>
      <c r="M78" s="5"/>
      <c r="N78" s="5"/>
    </row>
    <row r="79" spans="2:15" ht="15" customHeight="1" x14ac:dyDescent="0.35">
      <c r="L79" s="5"/>
      <c r="M79" s="5"/>
      <c r="N79" s="5"/>
    </row>
    <row r="80" spans="2:15" ht="24.95" customHeight="1" thickBot="1" x14ac:dyDescent="0.65">
      <c r="B80" s="2" t="s">
        <v>113</v>
      </c>
      <c r="C80" s="2"/>
      <c r="D80" s="2"/>
      <c r="E80" s="2"/>
      <c r="F80" s="2"/>
      <c r="G80" s="2"/>
      <c r="L80" s="5"/>
      <c r="M80" s="5"/>
      <c r="N80" s="5"/>
    </row>
    <row r="81" spans="2:14" ht="15" customHeight="1" thickTop="1" x14ac:dyDescent="0.35">
      <c r="B81" s="53"/>
      <c r="C81" s="40"/>
      <c r="D81" s="40"/>
      <c r="E81" s="40"/>
      <c r="F81" s="40"/>
      <c r="G81" s="40"/>
      <c r="L81" s="5"/>
      <c r="M81" s="5"/>
      <c r="N81" s="5"/>
    </row>
    <row r="82" spans="2:14" ht="15" customHeight="1" x14ac:dyDescent="0.35">
      <c r="B82" s="54"/>
      <c r="C82" s="166">
        <f>C70</f>
        <v>2020</v>
      </c>
      <c r="D82" s="166">
        <f t="shared" ref="D82:G82" si="8">D70</f>
        <v>2021</v>
      </c>
      <c r="E82" s="166">
        <f t="shared" si="8"/>
        <v>2022</v>
      </c>
      <c r="F82" s="166">
        <f t="shared" si="8"/>
        <v>2023</v>
      </c>
      <c r="G82" s="166">
        <f t="shared" si="8"/>
        <v>2024</v>
      </c>
      <c r="L82" s="5"/>
      <c r="M82" s="5"/>
      <c r="N82" s="5"/>
    </row>
    <row r="83" spans="2:14" ht="15" customHeight="1" thickBot="1" x14ac:dyDescent="0.4">
      <c r="B83" s="55"/>
      <c r="C83" s="41" t="s">
        <v>50</v>
      </c>
      <c r="D83" s="41" t="s">
        <v>50</v>
      </c>
      <c r="E83" s="41" t="s">
        <v>50</v>
      </c>
      <c r="F83" s="41" t="s">
        <v>50</v>
      </c>
      <c r="G83" s="41" t="s">
        <v>50</v>
      </c>
      <c r="L83" s="5"/>
      <c r="M83" s="5"/>
      <c r="N83" s="5"/>
    </row>
    <row r="84" spans="2:14" ht="15" customHeight="1" x14ac:dyDescent="0.35">
      <c r="B84" s="39" t="str">
        <f>'Input│ Historic Opex'!B16</f>
        <v>Pipeline operations</v>
      </c>
      <c r="C84" s="47">
        <f>'Input│ Other'!K$19*Calc│Forecast!G66</f>
        <v>12.185559671084359</v>
      </c>
      <c r="D84" s="47">
        <f>'Input│ Other'!L$19*Calc│Forecast!H66</f>
        <v>12.465852229241094</v>
      </c>
      <c r="E84" s="47">
        <f>'Input│ Other'!M$19*Calc│Forecast!I66</f>
        <v>12.916016543409855</v>
      </c>
      <c r="F84" s="47">
        <f>'Input│ Other'!N$19*Calc│Forecast!J66</f>
        <v>13.643042468062403</v>
      </c>
      <c r="G84" s="47">
        <f>'Input│ Other'!O$19*Calc│Forecast!K66</f>
        <v>14.016942564693997</v>
      </c>
      <c r="L84" s="5"/>
      <c r="M84" s="5"/>
      <c r="N84" s="5"/>
    </row>
    <row r="85" spans="2:14" ht="15" customHeight="1" x14ac:dyDescent="0.35">
      <c r="B85" s="39" t="str">
        <f>'Input│ Historic Opex'!B17</f>
        <v>Major expenditure jobs</v>
      </c>
      <c r="C85" s="47">
        <f>'Input│ Other'!K$19*Calc│Forecast!G67</f>
        <v>0.58113982639999995</v>
      </c>
      <c r="D85" s="47">
        <f>'Input│ Other'!L$19*Calc│Forecast!H67</f>
        <v>0.71886581425803997</v>
      </c>
      <c r="E85" s="47">
        <f>'Input│ Other'!M$19*Calc│Forecast!I67</f>
        <v>0.7215393607937145</v>
      </c>
      <c r="F85" s="47">
        <f>'Input│ Other'!N$19*Calc│Forecast!J67</f>
        <v>0.43882516229286966</v>
      </c>
      <c r="G85" s="47">
        <f>'Input│ Other'!O$19*Calc│Forecast!K67</f>
        <v>0.55878899103468282</v>
      </c>
      <c r="L85" s="5"/>
      <c r="M85" s="5"/>
      <c r="N85" s="5"/>
    </row>
    <row r="86" spans="2:14" ht="15" customHeight="1" x14ac:dyDescent="0.35">
      <c r="B86" s="39" t="str">
        <f>'Input│ Historic Opex'!B18</f>
        <v>Commercial operations</v>
      </c>
      <c r="C86" s="47">
        <f>'Input│ Other'!K$19*Calc│Forecast!G68</f>
        <v>0.61280537778661104</v>
      </c>
      <c r="D86" s="47">
        <f>'Input│ Other'!L$19*Calc│Forecast!H68</f>
        <v>0.62690114290765031</v>
      </c>
      <c r="E86" s="47">
        <f>'Input│ Other'!M$19*Calc│Forecast!I68</f>
        <v>0.64953966916794559</v>
      </c>
      <c r="F86" s="47">
        <f>'Input│ Other'!N$19*Calc│Forecast!J68</f>
        <v>0.68610141999787011</v>
      </c>
      <c r="G86" s="47">
        <f>'Input│ Other'!O$19*Calc│Forecast!K68</f>
        <v>0.70490465892619636</v>
      </c>
      <c r="L86" s="5"/>
      <c r="M86" s="5"/>
      <c r="N86" s="5"/>
    </row>
    <row r="87" spans="2:14" ht="15" customHeight="1" x14ac:dyDescent="0.35">
      <c r="B87" s="39" t="str">
        <f>'Input│ Historic Opex'!B19</f>
        <v>Regulatory</v>
      </c>
      <c r="C87" s="47">
        <f>'Input│ Other'!K$19*Calc│Forecast!G69</f>
        <v>1.2567148745899999</v>
      </c>
      <c r="D87" s="47">
        <f>'Input│ Other'!L$19*Calc│Forecast!H69</f>
        <v>1.153356769640473</v>
      </c>
      <c r="E87" s="47">
        <f>'Input│ Other'!M$19*Calc│Forecast!I69</f>
        <v>1.1749245412327496</v>
      </c>
      <c r="F87" s="47">
        <f>'Input│ Other'!N$19*Calc│Forecast!J69</f>
        <v>1.1968956301538018</v>
      </c>
      <c r="G87" s="47">
        <f>'Input│ Other'!O$19*Calc│Forecast!K69</f>
        <v>1.2192775784376779</v>
      </c>
      <c r="L87" s="5"/>
      <c r="M87" s="5"/>
      <c r="N87" s="5"/>
    </row>
    <row r="88" spans="2:14" ht="15" customHeight="1" thickBot="1" x14ac:dyDescent="0.4">
      <c r="B88" s="39" t="str">
        <f>'Input│ Historic Opex'!B20</f>
        <v>Corporate costs</v>
      </c>
      <c r="C88" s="47">
        <f>'Input│ Other'!K$19*Calc│Forecast!G70</f>
        <v>4.96976785328589</v>
      </c>
      <c r="D88" s="47">
        <f>'Input│ Other'!L$19*Calc│Forecast!H70</f>
        <v>5.0627025121423364</v>
      </c>
      <c r="E88" s="47">
        <f>'Input│ Other'!M$19*Calc│Forecast!I70</f>
        <v>5.1573750491193984</v>
      </c>
      <c r="F88" s="47">
        <f>'Input│ Other'!N$19*Calc│Forecast!J70</f>
        <v>5.25381796253793</v>
      </c>
      <c r="G88" s="47">
        <f>'Input│ Other'!O$19*Calc│Forecast!K70</f>
        <v>5.3520643584373886</v>
      </c>
      <c r="L88" s="5"/>
      <c r="M88" s="5"/>
      <c r="N88" s="5"/>
    </row>
    <row r="89" spans="2:14" ht="20.100000000000001" customHeight="1" thickBot="1" x14ac:dyDescent="0.4">
      <c r="B89" s="161" t="str">
        <f>'Input│ Historic Opex'!B21</f>
        <v>Total operating expenditure</v>
      </c>
      <c r="C89" s="42">
        <f>SUM(C84:C88)</f>
        <v>19.605987603146858</v>
      </c>
      <c r="D89" s="42">
        <f t="shared" ref="D89:G89" si="9">SUM(D84:D88)</f>
        <v>20.027678468189592</v>
      </c>
      <c r="E89" s="42">
        <f t="shared" si="9"/>
        <v>20.619395163723663</v>
      </c>
      <c r="F89" s="42">
        <f t="shared" si="9"/>
        <v>21.218682643044875</v>
      </c>
      <c r="G89" s="42">
        <f t="shared" si="9"/>
        <v>21.851978151529941</v>
      </c>
      <c r="L89" s="5"/>
      <c r="M89" s="5"/>
      <c r="N89" s="5"/>
    </row>
    <row r="90" spans="2:14" ht="15" customHeight="1" x14ac:dyDescent="0.35">
      <c r="L90" s="5"/>
      <c r="M90" s="5"/>
      <c r="N90" s="5"/>
    </row>
    <row r="91" spans="2:14" ht="15" customHeight="1" x14ac:dyDescent="0.35">
      <c r="L91" s="5"/>
      <c r="M91" s="5"/>
      <c r="N91" s="5"/>
    </row>
    <row r="92" spans="2:14" ht="15" customHeight="1" x14ac:dyDescent="0.35">
      <c r="L92" s="5"/>
      <c r="M92" s="5"/>
      <c r="N92" s="5"/>
    </row>
    <row r="93" spans="2:14" ht="15" customHeight="1" x14ac:dyDescent="0.35">
      <c r="L93" s="5"/>
      <c r="M93" s="5"/>
      <c r="N93" s="5"/>
    </row>
    <row r="94" spans="2:14" ht="15" customHeight="1" x14ac:dyDescent="0.35">
      <c r="L94" s="5"/>
      <c r="M94" s="5"/>
      <c r="N94" s="5"/>
    </row>
    <row r="95" spans="2:14" ht="15" customHeight="1" x14ac:dyDescent="0.35">
      <c r="L95" s="5"/>
      <c r="M95" s="5"/>
      <c r="N95" s="5"/>
    </row>
    <row r="96" spans="2:14" ht="15" customHeight="1" x14ac:dyDescent="0.35">
      <c r="L96" s="5"/>
      <c r="M96" s="5"/>
      <c r="N96" s="5"/>
    </row>
    <row r="97" spans="12:14" ht="15" customHeight="1" x14ac:dyDescent="0.35">
      <c r="L97" s="5"/>
      <c r="M97" s="5"/>
      <c r="N97" s="5"/>
    </row>
    <row r="98" spans="12:14" ht="15" customHeight="1" x14ac:dyDescent="0.35">
      <c r="L98" s="5"/>
      <c r="M98" s="5"/>
      <c r="N98" s="5"/>
    </row>
    <row r="99" spans="12:14" ht="15" customHeight="1" x14ac:dyDescent="0.35">
      <c r="L99" s="5"/>
      <c r="M99" s="5"/>
      <c r="N99" s="5"/>
    </row>
    <row r="100" spans="12:14" ht="15" customHeight="1" x14ac:dyDescent="0.35">
      <c r="L100" s="5"/>
      <c r="M100" s="5"/>
      <c r="N100" s="5"/>
    </row>
    <row r="101" spans="12:14" ht="15" customHeight="1" x14ac:dyDescent="0.35">
      <c r="L101" s="5"/>
      <c r="M101" s="5"/>
      <c r="N101" s="5"/>
    </row>
    <row r="102" spans="12:14" ht="15" customHeight="1" x14ac:dyDescent="0.35">
      <c r="L102" s="5"/>
      <c r="M102" s="5"/>
      <c r="N102" s="5"/>
    </row>
    <row r="103" spans="12:14" ht="15" customHeight="1" x14ac:dyDescent="0.35">
      <c r="L103" s="5"/>
      <c r="M103" s="5"/>
      <c r="N103" s="5"/>
    </row>
    <row r="104" spans="12:14" ht="15" customHeight="1" x14ac:dyDescent="0.35">
      <c r="L104" s="5"/>
      <c r="M104" s="5"/>
      <c r="N104" s="5"/>
    </row>
    <row r="105" spans="12:14" ht="15" customHeight="1" x14ac:dyDescent="0.35">
      <c r="L105" s="5"/>
      <c r="M105" s="5"/>
      <c r="N105" s="5"/>
    </row>
    <row r="106" spans="12:14" ht="15" customHeight="1" x14ac:dyDescent="0.35">
      <c r="L106" s="5"/>
      <c r="M106" s="5"/>
      <c r="N106" s="5"/>
    </row>
    <row r="107" spans="12:14" ht="15" customHeight="1" x14ac:dyDescent="0.35">
      <c r="L107" s="5"/>
      <c r="M107" s="5"/>
      <c r="N107" s="5"/>
    </row>
    <row r="108" spans="12:14" ht="15" customHeight="1" x14ac:dyDescent="0.35">
      <c r="L108" s="5"/>
      <c r="M108" s="5"/>
      <c r="N108" s="5"/>
    </row>
    <row r="109" spans="12:14" ht="15" customHeight="1" x14ac:dyDescent="0.35">
      <c r="L109" s="5"/>
      <c r="M109" s="5"/>
      <c r="N109" s="5"/>
    </row>
    <row r="110" spans="12:14" ht="15" customHeight="1" x14ac:dyDescent="0.35">
      <c r="L110" s="5"/>
      <c r="M110" s="5"/>
      <c r="N110" s="5"/>
    </row>
    <row r="111" spans="12:14" ht="15" customHeight="1" x14ac:dyDescent="0.35">
      <c r="L111" s="5"/>
      <c r="M111" s="5"/>
      <c r="N111" s="5"/>
    </row>
    <row r="112" spans="12:14" ht="15" customHeight="1" x14ac:dyDescent="0.35">
      <c r="L112" s="5"/>
      <c r="M112" s="5"/>
      <c r="N112" s="5"/>
    </row>
    <row r="113" spans="12:14" ht="15" customHeight="1" x14ac:dyDescent="0.35">
      <c r="L113" s="5"/>
      <c r="M113" s="5"/>
      <c r="N113" s="5"/>
    </row>
    <row r="114" spans="12:14" ht="15" customHeight="1" x14ac:dyDescent="0.35">
      <c r="L114" s="5"/>
      <c r="M114" s="5"/>
      <c r="N114" s="5"/>
    </row>
    <row r="115" spans="12:14" ht="15" customHeight="1" x14ac:dyDescent="0.35">
      <c r="L115" s="5"/>
      <c r="M115" s="5"/>
      <c r="N115" s="5"/>
    </row>
    <row r="116" spans="12:14" ht="15" customHeight="1" x14ac:dyDescent="0.35">
      <c r="L116" s="5"/>
      <c r="M116" s="5"/>
      <c r="N116" s="5"/>
    </row>
    <row r="117" spans="12:14" ht="15" customHeight="1" x14ac:dyDescent="0.35">
      <c r="L117" s="5"/>
      <c r="M117" s="5"/>
      <c r="N117" s="5"/>
    </row>
    <row r="118" spans="12:14" ht="15" customHeight="1" x14ac:dyDescent="0.35">
      <c r="L118" s="5"/>
      <c r="M118" s="5"/>
      <c r="N118" s="5"/>
    </row>
    <row r="119" spans="12:14" ht="15" customHeight="1" x14ac:dyDescent="0.35">
      <c r="L119" s="5"/>
      <c r="M119" s="5"/>
      <c r="N119" s="5"/>
    </row>
    <row r="120" spans="12:14" ht="15" customHeight="1" x14ac:dyDescent="0.35">
      <c r="L120" s="5"/>
      <c r="M120" s="5"/>
      <c r="N120" s="5"/>
    </row>
    <row r="121" spans="12:14" ht="15" customHeight="1" x14ac:dyDescent="0.35">
      <c r="L121" s="5"/>
      <c r="M121" s="5"/>
      <c r="N121" s="5"/>
    </row>
    <row r="122" spans="12:14" ht="15" customHeight="1" x14ac:dyDescent="0.35">
      <c r="L122" s="5"/>
      <c r="M122" s="5"/>
      <c r="N122" s="5"/>
    </row>
    <row r="123" spans="12:14" ht="15" customHeight="1" x14ac:dyDescent="0.35">
      <c r="L123" s="5"/>
      <c r="M123" s="5"/>
      <c r="N123" s="5"/>
    </row>
    <row r="124" spans="12:14" ht="15" customHeight="1" x14ac:dyDescent="0.35">
      <c r="L124" s="5"/>
      <c r="M124" s="5"/>
      <c r="N124" s="5"/>
    </row>
    <row r="125" spans="12:14" ht="15" customHeight="1" x14ac:dyDescent="0.35">
      <c r="L125" s="5"/>
      <c r="M125" s="5"/>
      <c r="N125" s="5"/>
    </row>
    <row r="126" spans="12:14" ht="15" customHeight="1" x14ac:dyDescent="0.35">
      <c r="L126" s="5"/>
      <c r="M126" s="5"/>
      <c r="N126" s="5"/>
    </row>
    <row r="127" spans="12:14" ht="15" customHeight="1" x14ac:dyDescent="0.35">
      <c r="L127" s="5"/>
      <c r="M127" s="5"/>
      <c r="N127" s="5"/>
    </row>
    <row r="128" spans="12:14" ht="15" customHeight="1" x14ac:dyDescent="0.35">
      <c r="L128" s="5"/>
      <c r="M128" s="5"/>
      <c r="N128" s="5"/>
    </row>
    <row r="129" spans="12:14" ht="15" customHeight="1" x14ac:dyDescent="0.35">
      <c r="L129" s="5"/>
      <c r="M129" s="5"/>
      <c r="N129" s="5"/>
    </row>
    <row r="130" spans="12:14" ht="15" customHeight="1" x14ac:dyDescent="0.35">
      <c r="L130" s="5"/>
      <c r="M130" s="5"/>
      <c r="N130" s="5"/>
    </row>
    <row r="131" spans="12:14" ht="15" customHeight="1" x14ac:dyDescent="0.35">
      <c r="L131" s="5"/>
      <c r="M131" s="5"/>
      <c r="N131" s="5"/>
    </row>
    <row r="132" spans="12:14" ht="15" customHeight="1" x14ac:dyDescent="0.35">
      <c r="L132" s="5"/>
      <c r="M132" s="5"/>
      <c r="N132" s="5"/>
    </row>
    <row r="133" spans="12:14" ht="15" customHeight="1" x14ac:dyDescent="0.35">
      <c r="L133" s="5"/>
      <c r="M133" s="5"/>
      <c r="N133" s="5"/>
    </row>
    <row r="134" spans="12:14" ht="15" customHeight="1" x14ac:dyDescent="0.35">
      <c r="L134" s="5"/>
      <c r="M134" s="5"/>
      <c r="N134" s="5"/>
    </row>
    <row r="135" spans="12:14" ht="15" customHeight="1" x14ac:dyDescent="0.35">
      <c r="L135" s="5"/>
      <c r="M135" s="5"/>
      <c r="N135" s="5"/>
    </row>
    <row r="136" spans="12:14" ht="15" customHeight="1" x14ac:dyDescent="0.35">
      <c r="L136" s="5"/>
      <c r="M136" s="5"/>
      <c r="N136" s="5"/>
    </row>
    <row r="137" spans="12:14" ht="15" customHeight="1" x14ac:dyDescent="0.35">
      <c r="L137" s="5"/>
      <c r="M137" s="5"/>
      <c r="N137" s="5"/>
    </row>
    <row r="138" spans="12:14" ht="15" customHeight="1" x14ac:dyDescent="0.35">
      <c r="L138" s="5"/>
      <c r="M138" s="5"/>
      <c r="N138" s="5"/>
    </row>
    <row r="139" spans="12:14" ht="15" customHeight="1" x14ac:dyDescent="0.35">
      <c r="L139" s="5"/>
      <c r="M139" s="5"/>
      <c r="N139" s="5"/>
    </row>
    <row r="140" spans="12:14" ht="15" customHeight="1" x14ac:dyDescent="0.35">
      <c r="L140" s="5"/>
      <c r="M140" s="5"/>
      <c r="N140" s="5"/>
    </row>
    <row r="141" spans="12:14" ht="15" customHeight="1" x14ac:dyDescent="0.35">
      <c r="L141" s="5"/>
      <c r="M141" s="5"/>
      <c r="N141" s="5"/>
    </row>
    <row r="142" spans="12:14" ht="15" customHeight="1" x14ac:dyDescent="0.35">
      <c r="L142" s="5"/>
      <c r="M142" s="5"/>
      <c r="N142" s="5"/>
    </row>
    <row r="143" spans="12:14" ht="15" customHeight="1" x14ac:dyDescent="0.35">
      <c r="L143" s="5"/>
      <c r="M143" s="5"/>
      <c r="N143" s="5"/>
    </row>
    <row r="144" spans="12:14" ht="15" customHeight="1" x14ac:dyDescent="0.35">
      <c r="L144" s="5"/>
      <c r="M144" s="5"/>
      <c r="N144" s="5"/>
    </row>
    <row r="145" spans="12:14" ht="15" customHeight="1" x14ac:dyDescent="0.35">
      <c r="L145" s="5"/>
      <c r="M145" s="5"/>
      <c r="N145" s="5"/>
    </row>
    <row r="146" spans="12:14" ht="15" customHeight="1" x14ac:dyDescent="0.35">
      <c r="L146" s="5"/>
      <c r="M146" s="5"/>
      <c r="N146" s="5"/>
    </row>
    <row r="147" spans="12:14" ht="15" customHeight="1" x14ac:dyDescent="0.35">
      <c r="L147" s="5"/>
      <c r="M147" s="5"/>
      <c r="N147" s="5"/>
    </row>
    <row r="148" spans="12:14" ht="15" customHeight="1" x14ac:dyDescent="0.35">
      <c r="L148" s="5"/>
      <c r="M148" s="5"/>
      <c r="N148" s="5"/>
    </row>
    <row r="149" spans="12:14" ht="15" customHeight="1" x14ac:dyDescent="0.35">
      <c r="L149" s="5"/>
      <c r="M149" s="5"/>
      <c r="N149" s="5"/>
    </row>
    <row r="150" spans="12:14" ht="15" customHeight="1" x14ac:dyDescent="0.35">
      <c r="L150" s="5"/>
      <c r="M150" s="5"/>
      <c r="N150" s="5"/>
    </row>
    <row r="151" spans="12:14" ht="15" customHeight="1" x14ac:dyDescent="0.35">
      <c r="L151" s="5"/>
      <c r="M151" s="5"/>
      <c r="N151" s="5"/>
    </row>
    <row r="152" spans="12:14" ht="15" customHeight="1" x14ac:dyDescent="0.35">
      <c r="L152" s="5"/>
      <c r="M152" s="5"/>
      <c r="N152" s="5"/>
    </row>
    <row r="153" spans="12:14" ht="15" customHeight="1" x14ac:dyDescent="0.35">
      <c r="L153" s="5"/>
      <c r="M153" s="5"/>
      <c r="N153" s="5"/>
    </row>
    <row r="154" spans="12:14" ht="15" customHeight="1" x14ac:dyDescent="0.35">
      <c r="L154" s="5"/>
      <c r="M154" s="5"/>
      <c r="N154" s="5"/>
    </row>
    <row r="155" spans="12:14" ht="15" customHeight="1" x14ac:dyDescent="0.35">
      <c r="L155" s="5"/>
      <c r="M155" s="5"/>
      <c r="N155" s="5"/>
    </row>
    <row r="156" spans="12:14" ht="15" customHeight="1" x14ac:dyDescent="0.35">
      <c r="L156" s="5"/>
      <c r="M156" s="5"/>
      <c r="N156" s="5"/>
    </row>
    <row r="157" spans="12:14" ht="15" customHeight="1" x14ac:dyDescent="0.35">
      <c r="L157" s="5"/>
      <c r="M157" s="5"/>
      <c r="N157" s="5"/>
    </row>
    <row r="158" spans="12:14" ht="15" customHeight="1" x14ac:dyDescent="0.35">
      <c r="L158" s="5"/>
      <c r="M158" s="5"/>
      <c r="N158" s="5"/>
    </row>
    <row r="159" spans="12:14" ht="15" customHeight="1" x14ac:dyDescent="0.35">
      <c r="L159" s="5"/>
      <c r="M159" s="5"/>
      <c r="N159" s="5"/>
    </row>
    <row r="160" spans="12:14" ht="15" customHeight="1" x14ac:dyDescent="0.35">
      <c r="L160" s="5"/>
      <c r="M160" s="5"/>
      <c r="N160" s="5"/>
    </row>
    <row r="161" spans="12:14" ht="15" customHeight="1" x14ac:dyDescent="0.35">
      <c r="L161" s="5"/>
      <c r="M161" s="5"/>
      <c r="N161" s="5"/>
    </row>
    <row r="162" spans="12:14" ht="15" customHeight="1" x14ac:dyDescent="0.35">
      <c r="L162" s="5"/>
      <c r="M162" s="5"/>
      <c r="N162" s="5"/>
    </row>
    <row r="163" spans="12:14" ht="15" customHeight="1" x14ac:dyDescent="0.35">
      <c r="L163" s="5"/>
      <c r="M163" s="5"/>
      <c r="N163" s="5"/>
    </row>
    <row r="164" spans="12:14" ht="15" customHeight="1" x14ac:dyDescent="0.35">
      <c r="L164" s="5"/>
      <c r="M164" s="5"/>
      <c r="N164" s="5"/>
    </row>
    <row r="165" spans="12:14" ht="15" customHeight="1" x14ac:dyDescent="0.35">
      <c r="L165" s="5"/>
      <c r="M165" s="5"/>
      <c r="N165" s="5"/>
    </row>
    <row r="166" spans="12:14" ht="15" customHeight="1" x14ac:dyDescent="0.35">
      <c r="L166" s="5"/>
      <c r="M166" s="5"/>
      <c r="N166" s="5"/>
    </row>
    <row r="167" spans="12:14" ht="15" customHeight="1" x14ac:dyDescent="0.35">
      <c r="L167" s="5"/>
      <c r="M167" s="5"/>
      <c r="N167" s="5"/>
    </row>
    <row r="168" spans="12:14" ht="15" customHeight="1" x14ac:dyDescent="0.35">
      <c r="L168" s="5"/>
      <c r="M168" s="5"/>
      <c r="N168" s="5"/>
    </row>
    <row r="169" spans="12:14" ht="15" customHeight="1" x14ac:dyDescent="0.35">
      <c r="L169" s="5"/>
      <c r="M169" s="5"/>
      <c r="N169" s="5"/>
    </row>
    <row r="170" spans="12:14" ht="15" customHeight="1" x14ac:dyDescent="0.35">
      <c r="L170" s="5"/>
      <c r="M170" s="5"/>
      <c r="N170" s="5"/>
    </row>
    <row r="171" spans="12:14" ht="15" customHeight="1" x14ac:dyDescent="0.35">
      <c r="L171" s="5"/>
      <c r="M171" s="5"/>
      <c r="N171" s="5"/>
    </row>
    <row r="172" spans="12:14" ht="15" customHeight="1" x14ac:dyDescent="0.35">
      <c r="L172" s="5"/>
      <c r="M172" s="5"/>
      <c r="N172" s="5"/>
    </row>
    <row r="173" spans="12:14" ht="15" customHeight="1" x14ac:dyDescent="0.35">
      <c r="L173" s="5"/>
      <c r="M173" s="5"/>
      <c r="N173" s="5"/>
    </row>
    <row r="174" spans="12:14" ht="15" customHeight="1" x14ac:dyDescent="0.35">
      <c r="L174" s="5"/>
      <c r="M174" s="5"/>
      <c r="N174" s="5"/>
    </row>
    <row r="175" spans="12:14" ht="15" customHeight="1" x14ac:dyDescent="0.35">
      <c r="L175" s="5"/>
      <c r="M175" s="5"/>
      <c r="N175" s="5"/>
    </row>
    <row r="176" spans="12:14" ht="15" customHeight="1" x14ac:dyDescent="0.35">
      <c r="L176" s="5"/>
      <c r="M176" s="5"/>
      <c r="N176" s="5"/>
    </row>
    <row r="177" spans="12:14" ht="15" customHeight="1" x14ac:dyDescent="0.35">
      <c r="L177" s="5"/>
      <c r="M177" s="5"/>
      <c r="N177" s="5"/>
    </row>
    <row r="178" spans="12:14" ht="15" customHeight="1" x14ac:dyDescent="0.35">
      <c r="L178" s="5"/>
      <c r="M178" s="5"/>
      <c r="N178" s="5"/>
    </row>
    <row r="179" spans="12:14" ht="15" customHeight="1" x14ac:dyDescent="0.35">
      <c r="L179" s="5"/>
      <c r="M179" s="5"/>
      <c r="N179" s="5"/>
    </row>
    <row r="180" spans="12:14" ht="15" customHeight="1" x14ac:dyDescent="0.35">
      <c r="L180" s="5"/>
      <c r="M180" s="5"/>
      <c r="N180" s="5"/>
    </row>
    <row r="181" spans="12:14" ht="15" customHeight="1" x14ac:dyDescent="0.35">
      <c r="L181" s="5"/>
      <c r="M181" s="5"/>
      <c r="N181" s="5"/>
    </row>
    <row r="182" spans="12:14" ht="15" customHeight="1" x14ac:dyDescent="0.35">
      <c r="L182" s="5"/>
      <c r="M182" s="5"/>
      <c r="N182" s="5"/>
    </row>
    <row r="183" spans="12:14" ht="15" customHeight="1" x14ac:dyDescent="0.35">
      <c r="L183" s="5"/>
      <c r="M183" s="5"/>
      <c r="N183" s="5"/>
    </row>
    <row r="184" spans="12:14" ht="15" customHeight="1" x14ac:dyDescent="0.35">
      <c r="L184" s="5"/>
      <c r="M184" s="5"/>
      <c r="N184" s="5"/>
    </row>
    <row r="185" spans="12:14" ht="15" customHeight="1" x14ac:dyDescent="0.35">
      <c r="L185" s="5"/>
      <c r="M185" s="5"/>
      <c r="N185" s="5"/>
    </row>
    <row r="186" spans="12:14" ht="15" customHeight="1" x14ac:dyDescent="0.35">
      <c r="L186" s="5"/>
      <c r="M186" s="5"/>
      <c r="N186" s="5"/>
    </row>
    <row r="187" spans="12:14" ht="15" customHeight="1" x14ac:dyDescent="0.35">
      <c r="L187" s="5"/>
      <c r="M187" s="5"/>
      <c r="N187" s="5"/>
    </row>
    <row r="188" spans="12:14" ht="15" customHeight="1" x14ac:dyDescent="0.35">
      <c r="L188" s="5"/>
      <c r="M188" s="5"/>
      <c r="N188" s="5"/>
    </row>
    <row r="189" spans="12:14" ht="15" customHeight="1" x14ac:dyDescent="0.35">
      <c r="L189" s="5"/>
      <c r="M189" s="5"/>
      <c r="N189" s="5"/>
    </row>
    <row r="190" spans="12:14" ht="15" customHeight="1" x14ac:dyDescent="0.35">
      <c r="L190" s="5"/>
      <c r="M190" s="5"/>
      <c r="N190" s="5"/>
    </row>
    <row r="191" spans="12:14" ht="15" customHeight="1" x14ac:dyDescent="0.35">
      <c r="L191" s="5"/>
      <c r="M191" s="5"/>
      <c r="N191" s="5"/>
    </row>
    <row r="192" spans="12:14" ht="15" customHeight="1" x14ac:dyDescent="0.35">
      <c r="L192" s="5"/>
      <c r="M192" s="5"/>
      <c r="N192" s="5"/>
    </row>
    <row r="193" spans="12:14" ht="15" customHeight="1" x14ac:dyDescent="0.35">
      <c r="L193" s="5"/>
      <c r="M193" s="5"/>
      <c r="N193" s="5"/>
    </row>
    <row r="194" spans="12:14" ht="15" customHeight="1" x14ac:dyDescent="0.35">
      <c r="L194" s="5"/>
      <c r="M194" s="5"/>
      <c r="N194" s="5"/>
    </row>
    <row r="195" spans="12:14" ht="15" customHeight="1" x14ac:dyDescent="0.35">
      <c r="L195" s="5"/>
      <c r="M195" s="5"/>
      <c r="N195" s="5"/>
    </row>
    <row r="196" spans="12:14" ht="15" customHeight="1" x14ac:dyDescent="0.35">
      <c r="L196" s="5"/>
      <c r="M196" s="5"/>
      <c r="N196" s="5"/>
    </row>
    <row r="197" spans="12:14" ht="15" customHeight="1" x14ac:dyDescent="0.35">
      <c r="L197" s="5"/>
      <c r="M197" s="5"/>
      <c r="N197" s="5"/>
    </row>
    <row r="198" spans="12:14" ht="15" customHeight="1" x14ac:dyDescent="0.35">
      <c r="L198" s="5"/>
      <c r="M198" s="5"/>
      <c r="N198" s="5"/>
    </row>
    <row r="199" spans="12:14" ht="15" customHeight="1" x14ac:dyDescent="0.35">
      <c r="L199" s="5"/>
      <c r="M199" s="5"/>
      <c r="N199" s="5"/>
    </row>
    <row r="200" spans="12:14" ht="15" customHeight="1" x14ac:dyDescent="0.35">
      <c r="L200" s="5"/>
      <c r="M200" s="5"/>
      <c r="N200" s="5"/>
    </row>
    <row r="201" spans="12:14" ht="15" customHeight="1" x14ac:dyDescent="0.35">
      <c r="L201" s="5"/>
      <c r="M201" s="5"/>
      <c r="N201" s="5"/>
    </row>
    <row r="202" spans="12:14" ht="15" customHeight="1" x14ac:dyDescent="0.35">
      <c r="L202" s="5"/>
      <c r="M202" s="5"/>
      <c r="N202" s="5"/>
    </row>
    <row r="203" spans="12:14" ht="15" customHeight="1" x14ac:dyDescent="0.35">
      <c r="L203" s="5"/>
      <c r="M203" s="5"/>
      <c r="N203" s="5"/>
    </row>
    <row r="204" spans="12:14" ht="15" customHeight="1" x14ac:dyDescent="0.35">
      <c r="L204" s="5"/>
      <c r="M204" s="5"/>
      <c r="N204" s="5"/>
    </row>
    <row r="205" spans="12:14" ht="15" customHeight="1" x14ac:dyDescent="0.35">
      <c r="L205" s="5"/>
      <c r="M205" s="5"/>
      <c r="N205" s="5"/>
    </row>
    <row r="206" spans="12:14" ht="15" customHeight="1" x14ac:dyDescent="0.35">
      <c r="L206" s="5"/>
      <c r="M206" s="5"/>
      <c r="N206" s="5"/>
    </row>
    <row r="207" spans="12:14" ht="15" customHeight="1" x14ac:dyDescent="0.35">
      <c r="L207" s="5"/>
      <c r="M207" s="5"/>
      <c r="N207" s="5"/>
    </row>
    <row r="208" spans="12:14" ht="15" customHeight="1" x14ac:dyDescent="0.35">
      <c r="L208" s="5"/>
      <c r="M208" s="5"/>
      <c r="N208" s="5"/>
    </row>
    <row r="209" spans="12:14" ht="15" customHeight="1" x14ac:dyDescent="0.35">
      <c r="L209" s="5"/>
      <c r="M209" s="5"/>
      <c r="N209" s="5"/>
    </row>
    <row r="210" spans="12:14" ht="15" customHeight="1" x14ac:dyDescent="0.35">
      <c r="L210" s="5"/>
      <c r="M210" s="5"/>
      <c r="N210" s="5"/>
    </row>
    <row r="211" spans="12:14" ht="15" customHeight="1" x14ac:dyDescent="0.35">
      <c r="L211" s="5"/>
      <c r="M211" s="5"/>
      <c r="N211" s="5"/>
    </row>
    <row r="212" spans="12:14" ht="15" customHeight="1" x14ac:dyDescent="0.35">
      <c r="L212" s="5"/>
      <c r="M212" s="5"/>
      <c r="N212" s="5"/>
    </row>
    <row r="213" spans="12:14" ht="15" customHeight="1" x14ac:dyDescent="0.35">
      <c r="L213" s="5"/>
      <c r="M213" s="5"/>
      <c r="N213" s="5"/>
    </row>
    <row r="214" spans="12:14" ht="15" customHeight="1" x14ac:dyDescent="0.35">
      <c r="L214" s="5"/>
      <c r="M214" s="5"/>
      <c r="N214" s="5"/>
    </row>
    <row r="215" spans="12:14" ht="15" customHeight="1" x14ac:dyDescent="0.35">
      <c r="L215" s="5"/>
      <c r="M215" s="5"/>
      <c r="N215" s="5"/>
    </row>
    <row r="216" spans="12:14" ht="15" customHeight="1" x14ac:dyDescent="0.35">
      <c r="L216" s="5"/>
      <c r="M216" s="5"/>
      <c r="N216" s="5"/>
    </row>
    <row r="217" spans="12:14" ht="15" customHeight="1" x14ac:dyDescent="0.35">
      <c r="L217" s="5"/>
      <c r="M217" s="5"/>
      <c r="N217" s="5"/>
    </row>
    <row r="218" spans="12:14" ht="15" customHeight="1" x14ac:dyDescent="0.35">
      <c r="L218" s="5"/>
      <c r="M218" s="5"/>
      <c r="N218" s="5"/>
    </row>
    <row r="219" spans="12:14" ht="15" customHeight="1" x14ac:dyDescent="0.35">
      <c r="L219" s="5"/>
      <c r="M219" s="5"/>
      <c r="N219" s="5"/>
    </row>
    <row r="220" spans="12:14" ht="15" customHeight="1" x14ac:dyDescent="0.35">
      <c r="L220" s="5"/>
      <c r="M220" s="5"/>
      <c r="N220" s="5"/>
    </row>
    <row r="221" spans="12:14" ht="15" customHeight="1" x14ac:dyDescent="0.35">
      <c r="L221" s="5"/>
      <c r="M221" s="5"/>
      <c r="N221" s="5"/>
    </row>
    <row r="222" spans="12:14" ht="15" customHeight="1" x14ac:dyDescent="0.35">
      <c r="L222" s="5"/>
      <c r="M222" s="5"/>
      <c r="N222" s="5"/>
    </row>
    <row r="223" spans="12:14" ht="15" customHeight="1" x14ac:dyDescent="0.35">
      <c r="L223" s="5"/>
      <c r="M223" s="5"/>
      <c r="N223" s="5"/>
    </row>
    <row r="224" spans="12:14" ht="15" customHeight="1" x14ac:dyDescent="0.35">
      <c r="L224" s="5"/>
      <c r="M224" s="5"/>
      <c r="N224" s="5"/>
    </row>
    <row r="225" spans="12:14" ht="15" customHeight="1" x14ac:dyDescent="0.35">
      <c r="L225" s="5"/>
      <c r="M225" s="5"/>
      <c r="N225" s="5"/>
    </row>
    <row r="226" spans="12:14" ht="15" customHeight="1" x14ac:dyDescent="0.35">
      <c r="L226" s="5"/>
      <c r="M226" s="5"/>
      <c r="N226" s="5"/>
    </row>
    <row r="227" spans="12:14" ht="15" customHeight="1" x14ac:dyDescent="0.35">
      <c r="L227" s="5"/>
      <c r="M227" s="5"/>
      <c r="N227" s="5"/>
    </row>
    <row r="228" spans="12:14" ht="15" customHeight="1" x14ac:dyDescent="0.35">
      <c r="L228" s="5"/>
      <c r="M228" s="5"/>
      <c r="N228" s="5"/>
    </row>
    <row r="229" spans="12:14" ht="15" customHeight="1" x14ac:dyDescent="0.35">
      <c r="L229" s="5"/>
      <c r="M229" s="5"/>
      <c r="N229" s="5"/>
    </row>
    <row r="230" spans="12:14" ht="15" customHeight="1" x14ac:dyDescent="0.35">
      <c r="L230" s="5"/>
      <c r="M230" s="5"/>
      <c r="N230" s="5"/>
    </row>
    <row r="231" spans="12:14" ht="15" customHeight="1" x14ac:dyDescent="0.35">
      <c r="L231" s="5"/>
      <c r="M231" s="5"/>
      <c r="N231" s="5"/>
    </row>
    <row r="232" spans="12:14" ht="15" customHeight="1" x14ac:dyDescent="0.35">
      <c r="L232" s="5"/>
      <c r="M232" s="5"/>
      <c r="N232" s="5"/>
    </row>
    <row r="233" spans="12:14" ht="15" customHeight="1" x14ac:dyDescent="0.35">
      <c r="L233" s="5"/>
      <c r="M233" s="5"/>
      <c r="N233" s="5"/>
    </row>
    <row r="234" spans="12:14" ht="15" customHeight="1" x14ac:dyDescent="0.35">
      <c r="L234" s="5"/>
      <c r="M234" s="5"/>
      <c r="N234" s="5"/>
    </row>
    <row r="235" spans="12:14" ht="15" customHeight="1" x14ac:dyDescent="0.35">
      <c r="L235" s="5"/>
      <c r="M235" s="5"/>
      <c r="N235" s="5"/>
    </row>
    <row r="236" spans="12:14" ht="15" customHeight="1" x14ac:dyDescent="0.35">
      <c r="L236" s="5"/>
      <c r="M236" s="5"/>
      <c r="N236" s="5"/>
    </row>
    <row r="237" spans="12:14" ht="15" customHeight="1" x14ac:dyDescent="0.35">
      <c r="L237" s="5"/>
      <c r="M237" s="5"/>
      <c r="N237" s="5"/>
    </row>
    <row r="238" spans="12:14" ht="15" customHeight="1" x14ac:dyDescent="0.35">
      <c r="L238" s="5"/>
      <c r="M238" s="5"/>
      <c r="N238" s="5"/>
    </row>
    <row r="239" spans="12:14" ht="15" customHeight="1" x14ac:dyDescent="0.35">
      <c r="L239" s="5"/>
      <c r="M239" s="5"/>
      <c r="N239" s="5"/>
    </row>
    <row r="240" spans="12:14" ht="15" customHeight="1" x14ac:dyDescent="0.35">
      <c r="L240" s="5"/>
      <c r="M240" s="5"/>
      <c r="N240" s="5"/>
    </row>
    <row r="241" spans="12:14" ht="15" customHeight="1" x14ac:dyDescent="0.35">
      <c r="L241" s="5"/>
      <c r="M241" s="5"/>
      <c r="N241" s="5"/>
    </row>
    <row r="242" spans="12:14" ht="15" customHeight="1" x14ac:dyDescent="0.35">
      <c r="L242" s="5"/>
      <c r="M242" s="5"/>
      <c r="N242" s="5"/>
    </row>
    <row r="243" spans="12:14" ht="15" customHeight="1" x14ac:dyDescent="0.35">
      <c r="L243" s="5"/>
      <c r="M243" s="5"/>
      <c r="N243" s="5"/>
    </row>
    <row r="244" spans="12:14" ht="15" customHeight="1" x14ac:dyDescent="0.35">
      <c r="L244" s="5"/>
      <c r="M244" s="5"/>
      <c r="N244" s="5"/>
    </row>
    <row r="245" spans="12:14" ht="15" customHeight="1" x14ac:dyDescent="0.35">
      <c r="L245" s="5"/>
      <c r="M245" s="5"/>
      <c r="N245" s="5"/>
    </row>
    <row r="246" spans="12:14" ht="15" customHeight="1" x14ac:dyDescent="0.35">
      <c r="L246" s="5"/>
      <c r="M246" s="5"/>
      <c r="N246" s="5"/>
    </row>
    <row r="247" spans="12:14" ht="15" customHeight="1" x14ac:dyDescent="0.35">
      <c r="L247" s="5"/>
      <c r="M247" s="5"/>
      <c r="N247" s="5"/>
    </row>
    <row r="248" spans="12:14" ht="15" customHeight="1" x14ac:dyDescent="0.35">
      <c r="L248" s="5"/>
      <c r="M248" s="5"/>
      <c r="N248" s="5"/>
    </row>
    <row r="249" spans="12:14" ht="15" customHeight="1" x14ac:dyDescent="0.35">
      <c r="L249" s="5"/>
      <c r="M249" s="5"/>
      <c r="N249" s="5"/>
    </row>
    <row r="250" spans="12:14" ht="15" customHeight="1" x14ac:dyDescent="0.35">
      <c r="L250" s="5"/>
      <c r="M250" s="5"/>
      <c r="N250" s="5"/>
    </row>
    <row r="251" spans="12:14" ht="15" customHeight="1" x14ac:dyDescent="0.35">
      <c r="L251" s="5"/>
      <c r="M251" s="5"/>
      <c r="N251" s="5"/>
    </row>
    <row r="252" spans="12:14" ht="15" customHeight="1" x14ac:dyDescent="0.35">
      <c r="L252" s="5"/>
      <c r="M252" s="5"/>
      <c r="N252" s="5"/>
    </row>
    <row r="253" spans="12:14" ht="15" customHeight="1" x14ac:dyDescent="0.35">
      <c r="L253" s="5"/>
      <c r="M253" s="5"/>
      <c r="N253" s="5"/>
    </row>
    <row r="254" spans="12:14" ht="15" customHeight="1" x14ac:dyDescent="0.35">
      <c r="L254" s="5"/>
      <c r="M254" s="5"/>
      <c r="N254" s="5"/>
    </row>
    <row r="255" spans="12:14" ht="15" customHeight="1" x14ac:dyDescent="0.35">
      <c r="L255" s="5"/>
      <c r="M255" s="5"/>
      <c r="N255" s="5"/>
    </row>
    <row r="256" spans="12:14" ht="15" customHeight="1" x14ac:dyDescent="0.35">
      <c r="L256" s="5"/>
      <c r="M256" s="5"/>
      <c r="N256" s="5"/>
    </row>
    <row r="257" spans="12:14" ht="15" customHeight="1" x14ac:dyDescent="0.35">
      <c r="L257" s="5"/>
      <c r="M257" s="5"/>
      <c r="N257" s="5"/>
    </row>
    <row r="258" spans="12:14" ht="15" customHeight="1" x14ac:dyDescent="0.35">
      <c r="L258" s="5"/>
      <c r="M258" s="5"/>
      <c r="N258" s="5"/>
    </row>
    <row r="259" spans="12:14" ht="15" customHeight="1" x14ac:dyDescent="0.35">
      <c r="L259" s="5"/>
      <c r="M259" s="5"/>
      <c r="N259" s="5"/>
    </row>
    <row r="260" spans="12:14" ht="15" customHeight="1" x14ac:dyDescent="0.35">
      <c r="L260" s="5"/>
      <c r="M260" s="5"/>
      <c r="N260" s="5"/>
    </row>
    <row r="261" spans="12:14" ht="15" customHeight="1" x14ac:dyDescent="0.35">
      <c r="L261" s="5"/>
      <c r="M261" s="5"/>
      <c r="N261" s="5"/>
    </row>
    <row r="262" spans="12:14" ht="15" customHeight="1" x14ac:dyDescent="0.35">
      <c r="L262" s="5"/>
      <c r="M262" s="5"/>
      <c r="N262" s="5"/>
    </row>
    <row r="263" spans="12:14" ht="15" customHeight="1" x14ac:dyDescent="0.35">
      <c r="L263" s="5"/>
      <c r="M263" s="5"/>
      <c r="N263" s="5"/>
    </row>
    <row r="264" spans="12:14" ht="15" customHeight="1" x14ac:dyDescent="0.35">
      <c r="L264" s="5"/>
      <c r="M264" s="5"/>
      <c r="N264" s="5"/>
    </row>
    <row r="265" spans="12:14" ht="15" customHeight="1" x14ac:dyDescent="0.35">
      <c r="L265" s="5"/>
      <c r="M265" s="5"/>
      <c r="N265" s="5"/>
    </row>
    <row r="266" spans="12:14" ht="15" customHeight="1" x14ac:dyDescent="0.35">
      <c r="L266" s="5"/>
      <c r="M266" s="5"/>
      <c r="N266" s="5"/>
    </row>
    <row r="267" spans="12:14" ht="15" customHeight="1" x14ac:dyDescent="0.35">
      <c r="L267" s="5"/>
      <c r="M267" s="5"/>
      <c r="N267" s="5"/>
    </row>
    <row r="268" spans="12:14" ht="15" customHeight="1" x14ac:dyDescent="0.35">
      <c r="L268" s="5"/>
      <c r="M268" s="5"/>
      <c r="N268" s="5"/>
    </row>
    <row r="269" spans="12:14" ht="15" customHeight="1" x14ac:dyDescent="0.35">
      <c r="L269" s="5"/>
      <c r="M269" s="5"/>
      <c r="N269" s="5"/>
    </row>
    <row r="270" spans="12:14" ht="15" customHeight="1" x14ac:dyDescent="0.35">
      <c r="L270" s="5"/>
      <c r="M270" s="5"/>
      <c r="N270" s="5"/>
    </row>
    <row r="271" spans="12:14" ht="15" customHeight="1" x14ac:dyDescent="0.35">
      <c r="L271" s="5"/>
      <c r="M271" s="5"/>
      <c r="N271" s="5"/>
    </row>
    <row r="272" spans="12:14" ht="15" customHeight="1" x14ac:dyDescent="0.35">
      <c r="L272" s="5"/>
      <c r="M272" s="5"/>
      <c r="N272" s="5"/>
    </row>
    <row r="273" spans="12:14" ht="15" customHeight="1" x14ac:dyDescent="0.35">
      <c r="L273" s="5"/>
      <c r="M273" s="5"/>
      <c r="N273" s="5"/>
    </row>
    <row r="274" spans="12:14" ht="15" customHeight="1" x14ac:dyDescent="0.35">
      <c r="L274" s="5"/>
      <c r="M274" s="5"/>
      <c r="N274" s="5"/>
    </row>
    <row r="275" spans="12:14" ht="15" customHeight="1" x14ac:dyDescent="0.35">
      <c r="L275" s="5"/>
      <c r="M275" s="5"/>
      <c r="N275" s="5"/>
    </row>
    <row r="276" spans="12:14" ht="15" customHeight="1" x14ac:dyDescent="0.35">
      <c r="L276" s="5"/>
      <c r="M276" s="5"/>
      <c r="N276" s="5"/>
    </row>
    <row r="277" spans="12:14" ht="15" customHeight="1" x14ac:dyDescent="0.35">
      <c r="L277" s="5"/>
      <c r="M277" s="5"/>
      <c r="N277" s="5"/>
    </row>
    <row r="278" spans="12:14" ht="15" customHeight="1" x14ac:dyDescent="0.35">
      <c r="L278" s="5"/>
      <c r="M278" s="5"/>
      <c r="N278" s="5"/>
    </row>
    <row r="279" spans="12:14" ht="15" customHeight="1" x14ac:dyDescent="0.35">
      <c r="L279" s="5"/>
      <c r="M279" s="5"/>
      <c r="N279" s="5"/>
    </row>
    <row r="280" spans="12:14" ht="15" customHeight="1" x14ac:dyDescent="0.35">
      <c r="L280" s="5"/>
      <c r="M280" s="5"/>
      <c r="N280" s="5"/>
    </row>
    <row r="281" spans="12:14" ht="15" customHeight="1" x14ac:dyDescent="0.35">
      <c r="L281" s="5"/>
      <c r="M281" s="5"/>
      <c r="N281" s="5"/>
    </row>
    <row r="282" spans="12:14" ht="15" customHeight="1" x14ac:dyDescent="0.35">
      <c r="L282" s="5"/>
      <c r="M282" s="5"/>
      <c r="N282" s="5"/>
    </row>
    <row r="283" spans="12:14" ht="15" customHeight="1" x14ac:dyDescent="0.35">
      <c r="L283" s="5"/>
      <c r="M283" s="5"/>
      <c r="N283" s="5"/>
    </row>
    <row r="284" spans="12:14" ht="15" customHeight="1" x14ac:dyDescent="0.35">
      <c r="L284" s="5"/>
      <c r="M284" s="5"/>
      <c r="N284" s="5"/>
    </row>
    <row r="285" spans="12:14" ht="15" customHeight="1" x14ac:dyDescent="0.35">
      <c r="L285" s="5"/>
      <c r="M285" s="5"/>
      <c r="N285" s="5"/>
    </row>
    <row r="286" spans="12:14" ht="15" customHeight="1" x14ac:dyDescent="0.35">
      <c r="L286" s="5"/>
      <c r="M286" s="5"/>
      <c r="N286" s="5"/>
    </row>
    <row r="287" spans="12:14" ht="15" customHeight="1" x14ac:dyDescent="0.35">
      <c r="L287" s="5"/>
      <c r="M287" s="5"/>
      <c r="N287" s="5"/>
    </row>
    <row r="288" spans="12:14" ht="15" customHeight="1" x14ac:dyDescent="0.35">
      <c r="L288" s="5"/>
      <c r="M288" s="5"/>
      <c r="N288" s="5"/>
    </row>
    <row r="289" spans="12:14" ht="15" customHeight="1" x14ac:dyDescent="0.35">
      <c r="L289" s="5"/>
      <c r="M289" s="5"/>
      <c r="N289" s="5"/>
    </row>
    <row r="290" spans="12:14" x14ac:dyDescent="0.35">
      <c r="L290" s="5"/>
      <c r="M290" s="5"/>
      <c r="N290" s="5"/>
    </row>
    <row r="291" spans="12:14" x14ac:dyDescent="0.35">
      <c r="L291" s="5"/>
      <c r="M291" s="5"/>
      <c r="N291" s="5"/>
    </row>
    <row r="292" spans="12:14" x14ac:dyDescent="0.35">
      <c r="L292" s="5"/>
      <c r="M292" s="5"/>
      <c r="N292" s="5"/>
    </row>
    <row r="293" spans="12:14" x14ac:dyDescent="0.35">
      <c r="L293" s="5"/>
      <c r="M293" s="5"/>
      <c r="N293" s="5"/>
    </row>
    <row r="294" spans="12:14" x14ac:dyDescent="0.35">
      <c r="L294" s="5"/>
      <c r="M294" s="5"/>
      <c r="N294" s="5"/>
    </row>
    <row r="295" spans="12:14" x14ac:dyDescent="0.35">
      <c r="L295" s="5"/>
      <c r="M295" s="5"/>
      <c r="N295" s="5"/>
    </row>
    <row r="296" spans="12:14" x14ac:dyDescent="0.35">
      <c r="L296" s="5"/>
      <c r="M296" s="5"/>
      <c r="N296" s="5"/>
    </row>
    <row r="297" spans="12:14" x14ac:dyDescent="0.35">
      <c r="L297" s="5"/>
      <c r="M297" s="5"/>
      <c r="N297" s="5"/>
    </row>
    <row r="298" spans="12:14" x14ac:dyDescent="0.35">
      <c r="L298" s="5"/>
      <c r="M298" s="5"/>
      <c r="N298" s="5"/>
    </row>
    <row r="299" spans="12:14" x14ac:dyDescent="0.35">
      <c r="L299" s="5"/>
      <c r="M299" s="5"/>
      <c r="N299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B46AD9923F141B6D4D98BCB7CEDE0" ma:contentTypeVersion="0" ma:contentTypeDescription="Create a new document." ma:contentTypeScope="" ma:versionID="156a1260fc3728b0e688e51d714d86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76A333-00C1-4980-8914-34D28F0E11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C9033-BEA0-4CF3-AFD4-58B5CD206D4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B81270-FC22-45F0-9490-308D6B946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Key</vt:lpstr>
      <vt:lpstr>Input│ Historic Opex</vt:lpstr>
      <vt:lpstr>Input│ Other</vt:lpstr>
      <vt:lpstr>Input│ Forecast</vt:lpstr>
      <vt:lpstr>Calc│Forecast</vt:lpstr>
      <vt:lpstr>Outputs│Tables</vt:lpstr>
    </vt:vector>
  </TitlesOfParts>
  <Company>APA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Mark</dc:creator>
  <cp:lastModifiedBy>Michelle Moroney</cp:lastModifiedBy>
  <cp:lastPrinted>2019-01-03T06:47:25Z</cp:lastPrinted>
  <dcterms:created xsi:type="dcterms:W3CDTF">2018-10-03T00:58:45Z</dcterms:created>
  <dcterms:modified xsi:type="dcterms:W3CDTF">2019-01-22T05:14:14Z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0x010100034B46AD9923F141B6D4D98BCB7CEDE0</vt:lpwstr>
  </property>
</Properties>
</file>