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flindell\Desktop\"/>
    </mc:Choice>
  </mc:AlternateContent>
  <xr:revisionPtr revIDLastSave="0" documentId="8_{AC78B88E-818C-458A-A420-4820D2DE6EED}" xr6:coauthVersionLast="45" xr6:coauthVersionMax="45" xr10:uidLastSave="{00000000-0000-0000-0000-000000000000}"/>
  <bookViews>
    <workbookView xWindow="-28920" yWindow="1620" windowWidth="29040" windowHeight="15840" firstSheet="1" activeTab="2" xr2:uid="{00000000-000D-0000-FFFF-FFFF00000000}"/>
  </bookViews>
  <sheets>
    <sheet name="AER only" sheetId="6" state="veryHidden" r:id="rId1"/>
    <sheet name="Cover" sheetId="9" r:id="rId2"/>
    <sheet name="E Factor" sheetId="8" r:id="rId3"/>
  </sheets>
  <definedNames>
    <definedName name="anscount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8" l="1"/>
  <c r="G13" i="8"/>
  <c r="H13" i="8" s="1"/>
  <c r="E14" i="8" l="1"/>
  <c r="F14" i="8"/>
  <c r="C152" i="6" l="1"/>
  <c r="C153" i="6" s="1"/>
  <c r="C154" i="6" s="1"/>
  <c r="C155" i="6" s="1"/>
  <c r="C156" i="6" s="1"/>
  <c r="C157" i="6" s="1"/>
  <c r="C158" i="6" s="1"/>
  <c r="C159" i="6" s="1"/>
  <c r="C160" i="6" s="1"/>
  <c r="C161" i="6" s="1"/>
  <c r="C162" i="6" s="1"/>
  <c r="C163" i="6" s="1"/>
  <c r="C164" i="6" s="1"/>
  <c r="C165" i="6" s="1"/>
  <c r="C166" i="6" s="1"/>
  <c r="C167" i="6" s="1"/>
  <c r="C168" i="6" s="1"/>
  <c r="C169" i="6" s="1"/>
  <c r="C170" i="6" s="1"/>
  <c r="F133" i="6"/>
  <c r="L192" i="6"/>
  <c r="K192" i="6"/>
  <c r="J192" i="6"/>
  <c r="I192" i="6"/>
  <c r="H192" i="6"/>
  <c r="G192" i="6"/>
  <c r="F192" i="6"/>
  <c r="E192" i="6"/>
  <c r="D192" i="6"/>
  <c r="C192" i="6"/>
  <c r="L189" i="6"/>
  <c r="K189" i="6"/>
  <c r="J189" i="6"/>
  <c r="I189" i="6"/>
  <c r="R133" i="6"/>
  <c r="R134" i="6" s="1"/>
  <c r="R135" i="6" s="1"/>
  <c r="R136" i="6" s="1"/>
  <c r="R137" i="6" s="1"/>
  <c r="R138" i="6" s="1"/>
  <c r="R139" i="6" s="1"/>
  <c r="R140" i="6" s="1"/>
  <c r="R141" i="6" s="1"/>
  <c r="R142" i="6" s="1"/>
  <c r="R143" i="6" s="1"/>
  <c r="R144" i="6" s="1"/>
  <c r="R145" i="6" s="1"/>
  <c r="R146" i="6" s="1"/>
  <c r="R147" i="6" s="1"/>
  <c r="R148" i="6" s="1"/>
  <c r="R149" i="6" s="1"/>
  <c r="R150" i="6" s="1"/>
  <c r="R151" i="6" s="1"/>
  <c r="R152" i="6" s="1"/>
  <c r="P133" i="6"/>
  <c r="P134" i="6" s="1"/>
  <c r="P135" i="6" s="1"/>
  <c r="P136" i="6" s="1"/>
  <c r="P137" i="6" s="1"/>
  <c r="P138" i="6" s="1"/>
  <c r="P139" i="6" s="1"/>
  <c r="P140" i="6" s="1"/>
  <c r="P141" i="6" s="1"/>
  <c r="P142" i="6" s="1"/>
  <c r="P143" i="6" s="1"/>
  <c r="P144" i="6" s="1"/>
  <c r="P145" i="6" s="1"/>
  <c r="P146" i="6" s="1"/>
  <c r="P147" i="6" s="1"/>
  <c r="P148" i="6" s="1"/>
  <c r="P149" i="6" s="1"/>
  <c r="P150" i="6" s="1"/>
  <c r="P151" i="6" s="1"/>
  <c r="P152" i="6" s="1"/>
  <c r="C151" i="6"/>
  <c r="O133" i="6"/>
  <c r="C131" i="6"/>
  <c r="F134" i="6" l="1"/>
  <c r="F135" i="6" s="1"/>
  <c r="H133" i="6"/>
  <c r="E63" i="6" s="1"/>
  <c r="F136" i="6" l="1"/>
  <c r="H134" i="6"/>
  <c r="H135" i="6" s="1"/>
  <c r="H136" i="6" s="1"/>
  <c r="H137" i="6" s="1"/>
  <c r="E57" i="6"/>
  <c r="E60" i="6"/>
  <c r="E58" i="6"/>
  <c r="F137" i="6"/>
  <c r="H138" i="6" l="1"/>
  <c r="H139" i="6" s="1"/>
  <c r="H140" i="6" s="1"/>
  <c r="H141" i="6" s="1"/>
  <c r="H142" i="6" s="1"/>
  <c r="H143" i="6" s="1"/>
  <c r="H144" i="6" s="1"/>
  <c r="H145" i="6" s="1"/>
  <c r="H146" i="6" s="1"/>
  <c r="H147" i="6" s="1"/>
  <c r="E62" i="6"/>
  <c r="E61" i="6"/>
  <c r="E64" i="6"/>
  <c r="F138" i="6"/>
  <c r="E185" i="6" l="1"/>
  <c r="F139" i="6"/>
  <c r="F140" i="6" l="1"/>
  <c r="F141" i="6" l="1"/>
  <c r="F142" i="6" l="1"/>
  <c r="F143" i="6" l="1"/>
  <c r="F144" i="6" s="1"/>
  <c r="F145" i="6" s="1"/>
  <c r="F146" i="6" s="1"/>
  <c r="F147" i="6" s="1"/>
  <c r="G15" i="8" l="1"/>
  <c r="N46" i="8" l="1"/>
  <c r="N45" i="8"/>
  <c r="N44" i="8"/>
  <c r="N47" i="8"/>
  <c r="F15" i="8"/>
  <c r="N51" i="8"/>
  <c r="N52" i="8"/>
  <c r="N49" i="8"/>
  <c r="N50" i="8"/>
  <c r="M44" i="8" l="1"/>
  <c r="M47" i="8"/>
  <c r="M46" i="8"/>
  <c r="M45" i="8"/>
  <c r="M50" i="8"/>
  <c r="M51" i="8"/>
  <c r="E15" i="8"/>
  <c r="M49" i="8"/>
  <c r="L44" i="8" l="1"/>
  <c r="L47" i="8"/>
  <c r="L46" i="8"/>
  <c r="L45" i="8"/>
  <c r="D15" i="8"/>
  <c r="L50" i="8"/>
  <c r="L49" i="8"/>
  <c r="L51" i="8"/>
  <c r="C15" i="8" l="1"/>
  <c r="K44" i="8"/>
  <c r="K47" i="8"/>
  <c r="K46" i="8"/>
  <c r="K45" i="8"/>
  <c r="K50" i="8"/>
  <c r="K51" i="8"/>
  <c r="K49" i="8"/>
  <c r="N27" i="8" l="1"/>
  <c r="L29" i="8"/>
  <c r="O30" i="8"/>
  <c r="M32" i="8"/>
  <c r="O27" i="8"/>
  <c r="M29" i="8"/>
  <c r="K31" i="8"/>
  <c r="N32" i="8"/>
  <c r="K28" i="8"/>
  <c r="N29" i="8"/>
  <c r="L31" i="8"/>
  <c r="L28" i="8"/>
  <c r="O29" i="8"/>
  <c r="M31" i="8"/>
  <c r="K27" i="8"/>
  <c r="L30" i="8"/>
  <c r="L27" i="8"/>
  <c r="M30" i="8"/>
  <c r="M27" i="8"/>
  <c r="N30" i="8"/>
  <c r="O32" i="8"/>
  <c r="M28" i="8"/>
  <c r="K30" i="8"/>
  <c r="N31" i="8"/>
  <c r="N28" i="8"/>
  <c r="O31" i="8"/>
  <c r="O28" i="8"/>
  <c r="K32" i="8"/>
  <c r="K29" i="8"/>
  <c r="L32" i="8"/>
  <c r="O34" i="8"/>
  <c r="L34" i="8"/>
  <c r="O33" i="8"/>
  <c r="K34" i="8"/>
  <c r="M34" i="8"/>
  <c r="N34" i="8"/>
  <c r="N33" i="8"/>
  <c r="K33" i="8"/>
  <c r="M33" i="8"/>
  <c r="L33" i="8"/>
  <c r="N48" i="8" l="1"/>
  <c r="M48" i="8"/>
  <c r="L48" i="8"/>
  <c r="K48" i="8"/>
  <c r="N43" i="8" l="1"/>
  <c r="N26" i="8"/>
  <c r="K26" i="8"/>
  <c r="M26" i="8"/>
  <c r="O26" i="8"/>
  <c r="L26" i="8"/>
  <c r="N24" i="8" l="1"/>
  <c r="M24" i="8"/>
  <c r="O24" i="8"/>
  <c r="K24" i="8"/>
  <c r="L24" i="8"/>
  <c r="M52" i="8" l="1"/>
  <c r="L52" i="8"/>
  <c r="K52" i="8"/>
  <c r="K43" i="8" l="1"/>
  <c r="L43" i="8"/>
  <c r="M43" i="8"/>
  <c r="N35" i="8" l="1"/>
  <c r="G35" i="8"/>
  <c r="O35" i="8"/>
  <c r="H35" i="8"/>
  <c r="K35" i="8"/>
  <c r="D35" i="8"/>
  <c r="L35" i="8"/>
  <c r="E35" i="8"/>
  <c r="M35" i="8"/>
  <c r="F35" i="8"/>
  <c r="E53" i="8" l="1"/>
  <c r="L41" i="8"/>
  <c r="L53" i="8" s="1"/>
  <c r="M41" i="8"/>
  <c r="M53" i="8" s="1"/>
  <c r="F53" i="8"/>
  <c r="D53" i="8"/>
  <c r="K41" i="8"/>
  <c r="K53" i="8" s="1"/>
  <c r="K58" i="8" s="1"/>
  <c r="M58" i="8" l="1"/>
  <c r="P65" i="8" s="1"/>
  <c r="O63" i="8"/>
  <c r="N63" i="8"/>
  <c r="L63" i="8"/>
  <c r="P63" i="8"/>
  <c r="M63" i="8"/>
  <c r="L58" i="8"/>
  <c r="N65" i="8" l="1"/>
  <c r="O65" i="8"/>
  <c r="Q65" i="8"/>
  <c r="R65" i="8"/>
  <c r="N64" i="8"/>
  <c r="O64" i="8"/>
  <c r="M64" i="8"/>
  <c r="P64" i="8"/>
  <c r="Q64" i="8"/>
  <c r="G53" i="8" l="1"/>
  <c r="N41" i="8"/>
  <c r="N53" i="8" s="1"/>
  <c r="O53" i="8" s="1"/>
  <c r="O58" i="8" l="1"/>
  <c r="N58" i="8"/>
  <c r="O66" i="8" l="1"/>
  <c r="P66" i="8"/>
  <c r="Q66" i="8"/>
  <c r="R66" i="8"/>
  <c r="S66" i="8"/>
  <c r="P67" i="8"/>
  <c r="R67" i="8"/>
  <c r="Q67" i="8"/>
  <c r="S67" i="8"/>
  <c r="T67" i="8"/>
  <c r="T68" i="8" s="1"/>
  <c r="T70" i="8" s="1"/>
  <c r="Q68" i="8" l="1"/>
  <c r="Q70" i="8" s="1"/>
  <c r="P68" i="8"/>
  <c r="S68" i="8"/>
  <c r="S70" i="8" s="1"/>
  <c r="R68" i="8"/>
  <c r="R70" i="8" s="1"/>
  <c r="P70" i="8" l="1"/>
  <c r="U68" i="8"/>
  <c r="U70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N5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20161017: </t>
        </r>
        <r>
          <rPr>
            <sz val="9"/>
            <color indexed="81"/>
            <rFont val="Tahoma"/>
            <family val="2"/>
          </rPr>
          <t xml:space="preserve">Updated ABN and contact person </t>
        </r>
      </text>
    </comment>
    <comment ref="F133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This is populated from FRCP_y1 which is selected by the business on the cover sheet.</t>
        </r>
      </text>
    </comment>
    <comment ref="H133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This is the last year in the CRCP. The years count backward from FRCP_y1.
</t>
        </r>
      </text>
    </comment>
  </commentList>
</comments>
</file>

<file path=xl/sharedStrings.xml><?xml version="1.0" encoding="utf-8"?>
<sst xmlns="http://schemas.openxmlformats.org/spreadsheetml/2006/main" count="1986" uniqueCount="783">
  <si>
    <t>Data in these columns used for data validation and database purposes.</t>
  </si>
  <si>
    <t>Date last modified:</t>
  </si>
  <si>
    <t>updated TransGrid's correct legal name, corrected TasNetworks (T) to June financial year</t>
  </si>
  <si>
    <t>FOR ELECTRICITY BUSINESSES ONLY</t>
  </si>
  <si>
    <t>Feeder Types</t>
  </si>
  <si>
    <t>TasNetworks (D)</t>
  </si>
  <si>
    <t>MAIFI flag</t>
  </si>
  <si>
    <t>Feeder Names</t>
  </si>
  <si>
    <t>CBD</t>
  </si>
  <si>
    <t>Urban</t>
  </si>
  <si>
    <t>Short rural</t>
  </si>
  <si>
    <t>long rural</t>
  </si>
  <si>
    <t>EXTRA</t>
  </si>
  <si>
    <t>dms_TradingName_List</t>
  </si>
  <si>
    <t>dms_TradingNameFull_List</t>
  </si>
  <si>
    <t>dms_ABN_List</t>
  </si>
  <si>
    <t>dms_JurisdictionList</t>
  </si>
  <si>
    <t>dms_Sector_List</t>
  </si>
  <si>
    <t>dms_Segment_List</t>
  </si>
  <si>
    <t>dms_FormControl_List</t>
  </si>
  <si>
    <t>dms_RPT_List</t>
  </si>
  <si>
    <t>dms_RPTMonth_List</t>
  </si>
  <si>
    <t>dms_CRCPlength_List</t>
  </si>
  <si>
    <t>dms_FRCPlength_List</t>
  </si>
  <si>
    <t>dms_663_List</t>
  </si>
  <si>
    <t>dms_DeterminationRef_List</t>
  </si>
  <si>
    <t>dms_Addr1_List</t>
  </si>
  <si>
    <t>dms_Addr2_List</t>
  </si>
  <si>
    <t>dms_Suburb_List</t>
  </si>
  <si>
    <t>dms_State_List</t>
  </si>
  <si>
    <t>dms_PostCode_List</t>
  </si>
  <si>
    <t>dms_PAddr1_List</t>
  </si>
  <si>
    <t>dms_PAddr2_List</t>
  </si>
  <si>
    <t>dms_PSuburb_List</t>
  </si>
  <si>
    <t>dms_PState_List</t>
  </si>
  <si>
    <t>dms_PPostCode_List</t>
  </si>
  <si>
    <t>dms_ContactName1_List</t>
  </si>
  <si>
    <t>dms_ContactPh1_List</t>
  </si>
  <si>
    <t>dms_ContactEmail_List</t>
  </si>
  <si>
    <t>dms_CBD_flag</t>
  </si>
  <si>
    <t>dms_Urban_flag</t>
  </si>
  <si>
    <t>dms_ShortRural_flag</t>
  </si>
  <si>
    <t>dms_LongRural_flag</t>
  </si>
  <si>
    <t>dms_FeederType_5_flag</t>
  </si>
  <si>
    <t>dms_MAIFI_flag_List</t>
  </si>
  <si>
    <t>dms_FeederName_1</t>
  </si>
  <si>
    <t>dms_FeederName_2</t>
  </si>
  <si>
    <t>dms_FeederName_3</t>
  </si>
  <si>
    <t>dms_FeederName_4</t>
  </si>
  <si>
    <t>dms_FeederName_5</t>
  </si>
  <si>
    <t>ActewAGL Distribution</t>
  </si>
  <si>
    <t>ACT</t>
  </si>
  <si>
    <t>Electricity</t>
  </si>
  <si>
    <t>Distribution</t>
  </si>
  <si>
    <t>Revenue cap</t>
  </si>
  <si>
    <t>Financial</t>
  </si>
  <si>
    <t>June</t>
  </si>
  <si>
    <t>2014-19 Distribution Determination</t>
  </si>
  <si>
    <t>40 Bunda Street</t>
  </si>
  <si>
    <t>CANBERRA</t>
  </si>
  <si>
    <t>GPO BOX 366</t>
  </si>
  <si>
    <t>Robert Walker</t>
  </si>
  <si>
    <t>02 6248 3847</t>
  </si>
  <si>
    <t>robert.walker@actewagle.com.au</t>
  </si>
  <si>
    <t>NO</t>
  </si>
  <si>
    <t>YES</t>
  </si>
  <si>
    <t>Long rural</t>
  </si>
  <si>
    <t>ActewAGL Distribution (Tx Assets)</t>
  </si>
  <si>
    <t>distribution determination</t>
  </si>
  <si>
    <t>ActewAGL Gas</t>
  </si>
  <si>
    <t>Gas</t>
  </si>
  <si>
    <t>Weighted average price cap</t>
  </si>
  <si>
    <t>x</t>
  </si>
  <si>
    <t>Philip Deamer</t>
  </si>
  <si>
    <t>02 6248 3438</t>
  </si>
  <si>
    <t>GasAAReview@actewagl.com.au</t>
  </si>
  <si>
    <t>AGN (Albury)</t>
  </si>
  <si>
    <t>Australian Gas Networks Limited (reporting data for Albury)</t>
  </si>
  <si>
    <t>Vic</t>
  </si>
  <si>
    <t>Calendar</t>
  </si>
  <si>
    <t>December</t>
  </si>
  <si>
    <t>ADELAIDE</t>
  </si>
  <si>
    <t>SA</t>
  </si>
  <si>
    <t>AGN (SA)</t>
  </si>
  <si>
    <t>AGN (Victoria)</t>
  </si>
  <si>
    <t>Australian Gas Networks Limited (reporting data for Victoria)</t>
  </si>
  <si>
    <t>Amadeus</t>
  </si>
  <si>
    <t>APT Pipelines (NT) Pty Ltd</t>
  </si>
  <si>
    <t>NT</t>
  </si>
  <si>
    <t>Transmission</t>
  </si>
  <si>
    <t>n/a</t>
  </si>
  <si>
    <t>Level 19, HSBC Building</t>
  </si>
  <si>
    <t>580 George Street</t>
  </si>
  <si>
    <t>SYDNEY</t>
  </si>
  <si>
    <t>NSW</t>
  </si>
  <si>
    <t>Alexandra Curran</t>
  </si>
  <si>
    <t>02 9275 0020</t>
  </si>
  <si>
    <t>alexandra.curran@apa.com.au</t>
  </si>
  <si>
    <t>APA GasNet</t>
  </si>
  <si>
    <t>APA GasNet Australia (Operations) Pty Ltd</t>
  </si>
  <si>
    <t>PO Box R41</t>
  </si>
  <si>
    <t>ROYAL EXCHANGE</t>
  </si>
  <si>
    <t>Ausgrid</t>
  </si>
  <si>
    <t>570 George St</t>
  </si>
  <si>
    <t>John Thomson</t>
  </si>
  <si>
    <t>john.thomson@ausgrid.com.au</t>
  </si>
  <si>
    <t>Ausgrid (Tx Assets)</t>
  </si>
  <si>
    <t>AusNet (D)</t>
  </si>
  <si>
    <t>2016-20 Distribution Determination</t>
  </si>
  <si>
    <t>Level 32</t>
  </si>
  <si>
    <t>2 Southbank Boulevard</t>
  </si>
  <si>
    <t>SOUTHBANK</t>
  </si>
  <si>
    <t>Locked Bag 14051</t>
  </si>
  <si>
    <t>MELBOURNE CITY MAIL CENTRE</t>
  </si>
  <si>
    <t>VIC</t>
  </si>
  <si>
    <t>Hannah Williams</t>
  </si>
  <si>
    <t>03 9683 4088</t>
  </si>
  <si>
    <t>hwilliams@powercor.com.au</t>
  </si>
  <si>
    <t>AusNet (Gas)</t>
  </si>
  <si>
    <t>AusNet Gas Services</t>
  </si>
  <si>
    <t>X</t>
  </si>
  <si>
    <t>AusNet (T)</t>
  </si>
  <si>
    <t>March</t>
  </si>
  <si>
    <t>transmission determination</t>
  </si>
  <si>
    <t>Clare Thompson</t>
  </si>
  <si>
    <t>03 9695 6670</t>
  </si>
  <si>
    <t>clare.e.thompson@ausnetservices.com.au</t>
  </si>
  <si>
    <t>Australian Distribution Co.</t>
  </si>
  <si>
    <t>-</t>
  </si>
  <si>
    <t>123 Straight Street</t>
  </si>
  <si>
    <t>PO Box 123</t>
  </si>
  <si>
    <t>Bob Smith</t>
  </si>
  <si>
    <t>02 1234 5678</t>
  </si>
  <si>
    <t>bob@auselec.net.au</t>
  </si>
  <si>
    <t>Australian Transmission Co.</t>
  </si>
  <si>
    <t>CitiPower</t>
  </si>
  <si>
    <t>40 Market Street</t>
  </si>
  <si>
    <t>MELBOURNE</t>
  </si>
  <si>
    <t>Locked Bag 14090</t>
  </si>
  <si>
    <t>Directlink</t>
  </si>
  <si>
    <t>Qld</t>
  </si>
  <si>
    <t>ElectraNet</t>
  </si>
  <si>
    <t>52-55 East Terrace</t>
  </si>
  <si>
    <t>Rymill Park</t>
  </si>
  <si>
    <t>PO Box 7096</t>
  </si>
  <si>
    <t>Hutt Street Post Office</t>
  </si>
  <si>
    <t>Bill Jackson</t>
  </si>
  <si>
    <t>08 8404 7969</t>
  </si>
  <si>
    <t>jackson.bill@electranet.com.au</t>
  </si>
  <si>
    <t>Endeavour Energy</t>
  </si>
  <si>
    <t>51 Huntingwood Drive</t>
  </si>
  <si>
    <t>HUNTINGWOOD</t>
  </si>
  <si>
    <t>PO Box 811</t>
  </si>
  <si>
    <t>SEVEN HILLS</t>
  </si>
  <si>
    <t>Jon Hocking</t>
  </si>
  <si>
    <t>02 9853 4386 / 0407 348 156</t>
  </si>
  <si>
    <t>Jon.Hocking@Endeavourenergy.com.au</t>
  </si>
  <si>
    <t>Energex</t>
  </si>
  <si>
    <t>2015-20 Distribution Determination</t>
  </si>
  <si>
    <t>26 Reddacliff Street</t>
  </si>
  <si>
    <t>NEWSTEAD</t>
  </si>
  <si>
    <t>QLD</t>
  </si>
  <si>
    <t>Ergon Energy</t>
  </si>
  <si>
    <t>22 Walker Street</t>
  </si>
  <si>
    <t>TOWNSVILLE</t>
  </si>
  <si>
    <t>Po Box 264</t>
  </si>
  <si>
    <t>FORTITUDE VALLEY</t>
  </si>
  <si>
    <t>Jenny Doyle, Group Manager Regulatory Affairs</t>
  </si>
  <si>
    <t>(07) 3851 6416</t>
  </si>
  <si>
    <t>jenny.doyle@ergon.com.au</t>
  </si>
  <si>
    <t>Essential Energy</t>
  </si>
  <si>
    <t>8 Buller Street</t>
  </si>
  <si>
    <t>PORT MACQUARIE</t>
  </si>
  <si>
    <t>PO Box 5730</t>
  </si>
  <si>
    <t>Catherine Waddell</t>
  </si>
  <si>
    <t>02 6338 3553</t>
  </si>
  <si>
    <t>catherine.waddell@essentialenergy.com.au</t>
  </si>
  <si>
    <t>Jemena Electricity</t>
  </si>
  <si>
    <t>Level 16</t>
  </si>
  <si>
    <t>567 Collins Street</t>
  </si>
  <si>
    <t>PO Box 16182</t>
  </si>
  <si>
    <t>JGN</t>
  </si>
  <si>
    <t>Multinet Gas</t>
  </si>
  <si>
    <t>Multinet Gas (DB No.1) Pty Ltd (ACN 086 026 986), Multinet Gas (DB No.2) Pty Ltd (ACN 086 230 122)</t>
  </si>
  <si>
    <t>Murraylink</t>
  </si>
  <si>
    <t>Power and Water</t>
  </si>
  <si>
    <t>Power and Water Corporation</t>
  </si>
  <si>
    <t>GPO Box 1921</t>
  </si>
  <si>
    <t>DARWIN</t>
  </si>
  <si>
    <t>Powercor Australia</t>
  </si>
  <si>
    <t>Locked bag 14090</t>
  </si>
  <si>
    <t>Powerlink</t>
  </si>
  <si>
    <t>Queensland Electricity Transmission Corporation Limited trading as Powerlink Queensland</t>
  </si>
  <si>
    <t>33 Harold St</t>
  </si>
  <si>
    <t>VIRGINIA</t>
  </si>
  <si>
    <t>PO Box 1193</t>
  </si>
  <si>
    <t>Jennifer Harris</t>
  </si>
  <si>
    <t>07 3860 2667</t>
  </si>
  <si>
    <t>jharris@powerlink.com.au</t>
  </si>
  <si>
    <t>Roma to Brisbane Pipeline</t>
  </si>
  <si>
    <t>APT Petroleum Pipelines Limited t/a Roma to Brisbane Pipeline</t>
  </si>
  <si>
    <t>009 737 393</t>
  </si>
  <si>
    <t>SA Power Networks</t>
  </si>
  <si>
    <t>1 Anzac Highway</t>
  </si>
  <si>
    <t>KESWICK</t>
  </si>
  <si>
    <t>GPO Box 77</t>
  </si>
  <si>
    <t>Tas</t>
  </si>
  <si>
    <t>Critical Infrastructure</t>
  </si>
  <si>
    <t>High density commercial</t>
  </si>
  <si>
    <t>High density rural</t>
  </si>
  <si>
    <t>Low density rural</t>
  </si>
  <si>
    <t>TasNetworks (T)</t>
  </si>
  <si>
    <t>1-7 Maria Street</t>
  </si>
  <si>
    <t>LENAH VALLEY</t>
  </si>
  <si>
    <t>PO Box 606</t>
  </si>
  <si>
    <t>MOONAH</t>
  </si>
  <si>
    <t>TransGrid</t>
  </si>
  <si>
    <t>NSW Electricity Networks Operations Pty Ltd trading as TransGrid</t>
  </si>
  <si>
    <t>180 Thomas Street</t>
  </si>
  <si>
    <t>PO Box A1000</t>
  </si>
  <si>
    <t>SYDNEY SOUTH</t>
  </si>
  <si>
    <t>Garrie Chubb</t>
  </si>
  <si>
    <t>0408 210 221</t>
  </si>
  <si>
    <t>garrie.chubb@transgrid.com.au</t>
  </si>
  <si>
    <t>United Energy</t>
  </si>
  <si>
    <t>Level 3</t>
  </si>
  <si>
    <t>6 Nexus Court</t>
  </si>
  <si>
    <t>MULGRAVE</t>
  </si>
  <si>
    <t>PO Box 449</t>
  </si>
  <si>
    <t>MOUNT WAVERLEY</t>
  </si>
  <si>
    <t>Mathew Abraham</t>
  </si>
  <si>
    <t>03 8846 9758</t>
  </si>
  <si>
    <t>mathew.abraham@ue.com.au</t>
  </si>
  <si>
    <t>For EB &amp; Reset RINs only</t>
  </si>
  <si>
    <t>The Reg Year Ending (dms_RYE) must be set to the last year of the regulatory period. For forecast data is is usually (FRCP_y5) for actual it is a single year (CRY). For historical actual data the RYE will need to be set manually in the business details sheet by setting the dms_Multiyear_flag to 1 and putting the correct value in 'dms_Specified_FinalYear. See cells C67:C68</t>
  </si>
  <si>
    <t>Drop down selector box for CA &amp; Reset RINs.</t>
  </si>
  <si>
    <t>For CA &amp; Reset RINs only</t>
  </si>
  <si>
    <t>for DNSP only</t>
  </si>
  <si>
    <t>Reason for interruption</t>
  </si>
  <si>
    <t>dms_Reason_Interruption_Detailed</t>
  </si>
  <si>
    <t>dms_Reason_Interruption</t>
  </si>
  <si>
    <t xml:space="preserve">dms_Model_List </t>
  </si>
  <si>
    <t>dms_RYE_Formula_Result</t>
  </si>
  <si>
    <t>dms_0203_ProjectType</t>
  </si>
  <si>
    <t>dms_020303_01_UOM</t>
  </si>
  <si>
    <t>dms_020501_01_UOM</t>
  </si>
  <si>
    <t>dms_020501_02_UOM</t>
  </si>
  <si>
    <t>dms_020501_03_UOM</t>
  </si>
  <si>
    <t>dms_020501_04_UOM</t>
  </si>
  <si>
    <t>dms_020603_01_UOM</t>
  </si>
  <si>
    <t>dms_040102_01_UOM</t>
  </si>
  <si>
    <t>dms_040102_04_UOM</t>
  </si>
  <si>
    <t>dms_030601_01_UOM</t>
  </si>
  <si>
    <t>dms_030601_02_UOM</t>
  </si>
  <si>
    <t>dms_030701_01_UOM</t>
  </si>
  <si>
    <t>dms_030702_01_UOM</t>
  </si>
  <si>
    <t>dms_030703_01_UOM</t>
  </si>
  <si>
    <t>Animal</t>
  </si>
  <si>
    <t>Animal impact</t>
  </si>
  <si>
    <t>ARR</t>
  </si>
  <si>
    <t>ANNUAL REPORTING STATEMENT</t>
  </si>
  <si>
    <t>=LEFT(dms_SingleYear_FinalYear_Result,2)&amp;RIGHT(dms_SingleYear_FinalYear_Result,2)</t>
  </si>
  <si>
    <t>Formula errors are OK</t>
  </si>
  <si>
    <t>New line on new route - single circuit</t>
  </si>
  <si>
    <t>Circuit line length in km</t>
  </si>
  <si>
    <t>0's</t>
  </si>
  <si>
    <t>days</t>
  </si>
  <si>
    <t>minutes/customer</t>
  </si>
  <si>
    <t>Customer / km</t>
  </si>
  <si>
    <t>%</t>
  </si>
  <si>
    <t>km</t>
  </si>
  <si>
    <t>Animal nesting/burrowing, etc and other</t>
  </si>
  <si>
    <t>Asset failure</t>
  </si>
  <si>
    <t>CA</t>
  </si>
  <si>
    <t>CATEGORY ANALYSIS</t>
  </si>
  <si>
    <t>New line on new route - dual circuit</t>
  </si>
  <si>
    <t>MWh/customer</t>
  </si>
  <si>
    <t>Number of spans</t>
  </si>
  <si>
    <t>Other</t>
  </si>
  <si>
    <t>CPI</t>
  </si>
  <si>
    <t>New line on new route - other</t>
  </si>
  <si>
    <t>MVA added</t>
  </si>
  <si>
    <t>$0s</t>
  </si>
  <si>
    <t>interruptions/customer</t>
  </si>
  <si>
    <t>kVA / customer</t>
  </si>
  <si>
    <t>LV</t>
  </si>
  <si>
    <t>Overloads</t>
  </si>
  <si>
    <t>EB</t>
  </si>
  <si>
    <t>ECONOMIC BENCHMARKING</t>
  </si>
  <si>
    <t>Line rebuild over existing route - single circuit</t>
  </si>
  <si>
    <t>Distribution substation</t>
  </si>
  <si>
    <t>Planned</t>
  </si>
  <si>
    <t>PTRM</t>
  </si>
  <si>
    <t>POST TAX REVENUE MODEL</t>
  </si>
  <si>
    <t>=LEFT(dms_MultiYear_FinalYear_Result,2)&amp;RIGHT(dms_MultiYear_FinalYear_Result,2)</t>
  </si>
  <si>
    <t>Line rebuild over existing route - dual circuit</t>
  </si>
  <si>
    <t>Number</t>
  </si>
  <si>
    <t>total spend $0s</t>
  </si>
  <si>
    <t>(per cent)</t>
  </si>
  <si>
    <t>HV</t>
  </si>
  <si>
    <t>Network business</t>
  </si>
  <si>
    <t>Reset</t>
  </si>
  <si>
    <t>REGULATORY REPORTING STATEMENT</t>
  </si>
  <si>
    <t>Reconductor - Single circuit</t>
  </si>
  <si>
    <t>net circuit km added</t>
  </si>
  <si>
    <t>Years</t>
  </si>
  <si>
    <t>Zone substation</t>
  </si>
  <si>
    <t>Third party</t>
  </si>
  <si>
    <t>RFM</t>
  </si>
  <si>
    <t>ROLL FORWARD MODEL</t>
  </si>
  <si>
    <t>=LEFT(dms_CRCP_FinalYear_Result,2)&amp;RIGHT(dms_CRCP_FinalYear_Result,2)</t>
  </si>
  <si>
    <t>Reconductor - Dual circuit</t>
  </si>
  <si>
    <t>Subtransmission</t>
  </si>
  <si>
    <t>Unknown</t>
  </si>
  <si>
    <t>WACC</t>
  </si>
  <si>
    <t>WEIGHTED AVERAGE COST OF CAPITAL</t>
  </si>
  <si>
    <t>Trees</t>
  </si>
  <si>
    <t>insert description of 'other'</t>
  </si>
  <si>
    <t>Vegetation</t>
  </si>
  <si>
    <t>Weather</t>
  </si>
  <si>
    <t>dms_DataQuality_List</t>
  </si>
  <si>
    <t>Defects</t>
  </si>
  <si>
    <t>2 - STPIS Exclusion (3.3)(a)</t>
  </si>
  <si>
    <t>Actual</t>
  </si>
  <si>
    <t>Network error</t>
  </si>
  <si>
    <t>3 - STPIS Exclusion (3.3)(a)</t>
  </si>
  <si>
    <t>Estimate</t>
  </si>
  <si>
    <t>Spans</t>
  </si>
  <si>
    <t>Switching and protection error</t>
  </si>
  <si>
    <t>4 - STPIS Exclusion (3.3)(a)</t>
  </si>
  <si>
    <t>Consolidated</t>
  </si>
  <si>
    <t>Fire</t>
  </si>
  <si>
    <t>5 - STPIS Exclusion (3.3)(a)</t>
  </si>
  <si>
    <t/>
  </si>
  <si>
    <t>6 - STPIS Exclusion (3.3)(a)</t>
  </si>
  <si>
    <t>Public</t>
  </si>
  <si>
    <t>Dig-in</t>
  </si>
  <si>
    <t>7 - STPIS Exclusion (3.3)(a)</t>
  </si>
  <si>
    <t>Unauthorised access</t>
  </si>
  <si>
    <t>For all files either AER or business needs to be able to specify the type of submission</t>
  </si>
  <si>
    <t>For PTRM &amp; RFM templates we must provide a choice in case they change their form of control - otherwise it is drawn from the business specific lookup table above.</t>
  </si>
  <si>
    <t xml:space="preserve">For PTRM files - this field set the text for the named range "DMS_Xfactor" which in all cases is simply the text "x factors" - this saves putting in each old gas PTRM file </t>
  </si>
  <si>
    <t>for TNSP only</t>
  </si>
  <si>
    <t>Vehicle impact</t>
  </si>
  <si>
    <t>dms_SourceList</t>
  </si>
  <si>
    <t>dms_FormControl_Choices</t>
  </si>
  <si>
    <t>DMS_Xfactor</t>
  </si>
  <si>
    <t>After appeal</t>
  </si>
  <si>
    <t>x factors</t>
  </si>
  <si>
    <t>Blow-in/Fall-in - NSP responsibility</t>
  </si>
  <si>
    <t>Draft decision</t>
  </si>
  <si>
    <t>Revenue yield</t>
  </si>
  <si>
    <t>number</t>
  </si>
  <si>
    <t>Grow-in - NSP responsibility</t>
  </si>
  <si>
    <t>Final decision</t>
  </si>
  <si>
    <t>Blow-in/Fall-in - Other responsible party</t>
  </si>
  <si>
    <t>PTRM update 1</t>
  </si>
  <si>
    <t>Grow-in - Other responsible party</t>
  </si>
  <si>
    <t>PTRM update 2</t>
  </si>
  <si>
    <t>PTRM update 3</t>
  </si>
  <si>
    <t>PTRM update 4</t>
  </si>
  <si>
    <t>PTRM update 5</t>
  </si>
  <si>
    <t>PTRM update 6</t>
  </si>
  <si>
    <t>PTRM update 7</t>
  </si>
  <si>
    <t>Regulatory proposal</t>
  </si>
  <si>
    <t>Reporting</t>
  </si>
  <si>
    <t>Revised regulatory proposal</t>
  </si>
  <si>
    <t>These are indeces and lookup values for various dates. All step from the value placed in FRCP_y1 on the business and other details worksheet</t>
  </si>
  <si>
    <t>These date tables are currently used in the Recast templates to provide column headings and conditional formatting</t>
  </si>
  <si>
    <t>dms_FRCPlength_Num_List</t>
  </si>
  <si>
    <t>dms_FinalYear_List</t>
  </si>
  <si>
    <t>dms_CRCPlength_Num_List</t>
  </si>
  <si>
    <t>dms_CFinalYear_List</t>
  </si>
  <si>
    <t>dms_FRCP_years</t>
  </si>
  <si>
    <t>dms_CRCP_years</t>
  </si>
  <si>
    <t>dms_CRCP_index</t>
  </si>
  <si>
    <t>CRY from input cell on business sheet</t>
  </si>
  <si>
    <t>CRY - financial</t>
  </si>
  <si>
    <t>dms_FinYears</t>
  </si>
  <si>
    <t>CRY calendar</t>
  </si>
  <si>
    <t>dms_CalYears</t>
  </si>
  <si>
    <t>dms_FRCP_y1</t>
  </si>
  <si>
    <t>CRCP_y1</t>
  </si>
  <si>
    <t>dms_CRCP_yZ</t>
  </si>
  <si>
    <t>dms_CRYf_y1</t>
  </si>
  <si>
    <t>dms_CRYc_y1</t>
  </si>
  <si>
    <t>dms_FRCP_y2</t>
  </si>
  <si>
    <t>CRCP_y2</t>
  </si>
  <si>
    <t>dms_CRCP_yY</t>
  </si>
  <si>
    <t>dms_CRYf_y2</t>
  </si>
  <si>
    <t>dms_CRYc_y2</t>
  </si>
  <si>
    <t>dms_FRCP_y3</t>
  </si>
  <si>
    <t>CRCP_y3</t>
  </si>
  <si>
    <t>dms_CRCP_yX</t>
  </si>
  <si>
    <t>dms_CRYf_y3</t>
  </si>
  <si>
    <t>dms_CRYc_y3</t>
  </si>
  <si>
    <t>dms_FRCP_y4</t>
  </si>
  <si>
    <t>CRCP_y4</t>
  </si>
  <si>
    <t>dms_CRCP_yW</t>
  </si>
  <si>
    <t>dms_CRYf_y4</t>
  </si>
  <si>
    <t>dms_CRYc_y4</t>
  </si>
  <si>
    <t>dms_FRCP_y5</t>
  </si>
  <si>
    <t>CRCP_y5</t>
  </si>
  <si>
    <t>dms_CRCP_yV</t>
  </si>
  <si>
    <t>dms_CRYf_y5</t>
  </si>
  <si>
    <t>dms_CRYc_y5</t>
  </si>
  <si>
    <t>dms_FRCP_y6</t>
  </si>
  <si>
    <t>CRCP_y6</t>
  </si>
  <si>
    <t>dms_CRCP_yU</t>
  </si>
  <si>
    <t>dms_CRYf_y6</t>
  </si>
  <si>
    <t>dms_CRYc_y6</t>
  </si>
  <si>
    <t>dms_FRCP_y7</t>
  </si>
  <si>
    <t>CRCP_y7</t>
  </si>
  <si>
    <t>dms_CRCP_yT</t>
  </si>
  <si>
    <t>dms_CRYf_y7</t>
  </si>
  <si>
    <t>dms_CRYc_y7</t>
  </si>
  <si>
    <t>dms_FRCP_y8</t>
  </si>
  <si>
    <t>CRCP_y8</t>
  </si>
  <si>
    <t>dms_CRCP_yS</t>
  </si>
  <si>
    <t>dms_CRYf_y8</t>
  </si>
  <si>
    <t>dms_CRYc_y8</t>
  </si>
  <si>
    <t>dms_FRCP_y9</t>
  </si>
  <si>
    <t>CRCP_y9</t>
  </si>
  <si>
    <t>dms_CRCP_yR</t>
  </si>
  <si>
    <t>dms_CRYf_y9</t>
  </si>
  <si>
    <t>dms_CRYc_y9</t>
  </si>
  <si>
    <t>dms_FRCP_y10</t>
  </si>
  <si>
    <t>CRCP_y10</t>
  </si>
  <si>
    <t>dms_CRCP_yQ</t>
  </si>
  <si>
    <t>dms_CRYf_y10</t>
  </si>
  <si>
    <t>dms_CRYc_y10</t>
  </si>
  <si>
    <t>dms_FRCP_y11</t>
  </si>
  <si>
    <t>CRCP_y11</t>
  </si>
  <si>
    <t>dms_CRCP_yP</t>
  </si>
  <si>
    <t>dms_CRYf_y11</t>
  </si>
  <si>
    <t>dms_CRYc_y11</t>
  </si>
  <si>
    <t>dms_FRCP_y12</t>
  </si>
  <si>
    <t>CRCP_y12</t>
  </si>
  <si>
    <t>dms_CRCP_yO</t>
  </si>
  <si>
    <t>dms_CRYf_y12</t>
  </si>
  <si>
    <t>dms_CRYc_y12</t>
  </si>
  <si>
    <t>dms_FRCP_y13</t>
  </si>
  <si>
    <t>CRCP_y13</t>
  </si>
  <si>
    <t>dms_CRCP_yN</t>
  </si>
  <si>
    <t>dms_CRYf_y13</t>
  </si>
  <si>
    <t>dms_CRYc_y13</t>
  </si>
  <si>
    <t>dms_FRCP_y14</t>
  </si>
  <si>
    <t>CRCP_y14</t>
  </si>
  <si>
    <t>dms_CRCP_yM</t>
  </si>
  <si>
    <t>dms_CRYf_y14</t>
  </si>
  <si>
    <t>dms_CRYc_y14</t>
  </si>
  <si>
    <t>dms_FRCP_y15</t>
  </si>
  <si>
    <t>CRCP_y15</t>
  </si>
  <si>
    <t>dms_CRCP_yL</t>
  </si>
  <si>
    <t>dms_CRYf_y15</t>
  </si>
  <si>
    <t>dms_CRYc_y15</t>
  </si>
  <si>
    <t>dms_CRYf_y16</t>
  </si>
  <si>
    <t>dms_CRYc_y16</t>
  </si>
  <si>
    <t>These are drop down lists for businesses to select the correct FRCP_y1 on the business and other details worksheet.
This also populates the column headings in the worksheets</t>
  </si>
  <si>
    <t>dms_CRYf_y17</t>
  </si>
  <si>
    <t>dms_CRYc_y17</t>
  </si>
  <si>
    <t>dms_RCP_fyear_list</t>
  </si>
  <si>
    <t>dms_CRY_ListF</t>
  </si>
  <si>
    <t>dms_CRY_ListC</t>
  </si>
  <si>
    <t>dms_RCP_cyear_list</t>
  </si>
  <si>
    <t>dms_FRCP_fyear_list</t>
  </si>
  <si>
    <t>dms_FRCP_ListF</t>
  </si>
  <si>
    <t>dms_FRCP_ListC</t>
  </si>
  <si>
    <t>dms_FRCP_cyear_list</t>
  </si>
  <si>
    <t>dms_CRYf_y18</t>
  </si>
  <si>
    <t>dms_CRYc_y18</t>
  </si>
  <si>
    <t>2006-07</t>
  </si>
  <si>
    <t>dms_cy1</t>
  </si>
  <si>
    <t>dms_frcp_fy1</t>
  </si>
  <si>
    <t>2016-17</t>
  </si>
  <si>
    <t>dms_crcp_cy1</t>
  </si>
  <si>
    <t>dms_CRYf_y19</t>
  </si>
  <si>
    <t>dms_CRYc_y19</t>
  </si>
  <si>
    <t>2007-08</t>
  </si>
  <si>
    <t>2008</t>
  </si>
  <si>
    <t>dms_cy2</t>
  </si>
  <si>
    <t>dms_frcp_fy2</t>
  </si>
  <si>
    <t>2017-18</t>
  </si>
  <si>
    <t>dms_crcp_cy2</t>
  </si>
  <si>
    <t>dms_CRYf_y20</t>
  </si>
  <si>
    <t>dms_CRYc_y20</t>
  </si>
  <si>
    <t>2008-09</t>
  </si>
  <si>
    <t>2009</t>
  </si>
  <si>
    <t>dms_cy3</t>
  </si>
  <si>
    <t>dms_frcp_fy3</t>
  </si>
  <si>
    <t>2018-19</t>
  </si>
  <si>
    <t>dms_crcp_cy3</t>
  </si>
  <si>
    <t>2009-10</t>
  </si>
  <si>
    <t>dms_cy4</t>
  </si>
  <si>
    <t>dms_frcp_fy4</t>
  </si>
  <si>
    <t>2019-20</t>
  </si>
  <si>
    <t>dms_crcp_cy4</t>
  </si>
  <si>
    <t>2010-11</t>
  </si>
  <si>
    <t>dms_cy5</t>
  </si>
  <si>
    <t>dms_frcp_fy5</t>
  </si>
  <si>
    <t>2020-21</t>
  </si>
  <si>
    <t>dms_crcp_cy5</t>
  </si>
  <si>
    <t>2011-12</t>
  </si>
  <si>
    <t>dms_cy6</t>
  </si>
  <si>
    <t>dms_frcp_fy6</t>
  </si>
  <si>
    <t>2021-22</t>
  </si>
  <si>
    <t>dms_crcp_cy6</t>
  </si>
  <si>
    <t>2012-13</t>
  </si>
  <si>
    <t>dms_cy7</t>
  </si>
  <si>
    <t>dms_frcp_fy7</t>
  </si>
  <si>
    <t>2022-23</t>
  </si>
  <si>
    <t>dms_crcp_cy7</t>
  </si>
  <si>
    <t>2013-14</t>
  </si>
  <si>
    <t>dms_cy8</t>
  </si>
  <si>
    <t>dms_frcp_fy8</t>
  </si>
  <si>
    <t>2023-24</t>
  </si>
  <si>
    <t>dms_crcp_cy8</t>
  </si>
  <si>
    <t>2014-15</t>
  </si>
  <si>
    <t>dms_cy9</t>
  </si>
  <si>
    <t>dms_frcp_fy9</t>
  </si>
  <si>
    <t>2024-25</t>
  </si>
  <si>
    <t>dms_crcp_cy9</t>
  </si>
  <si>
    <t>2015-16</t>
  </si>
  <si>
    <t>dms_cy10</t>
  </si>
  <si>
    <t>dms_frcp_fy10</t>
  </si>
  <si>
    <t>2025-26</t>
  </si>
  <si>
    <t>dms_crcp_cy10</t>
  </si>
  <si>
    <t>dms_cy11</t>
  </si>
  <si>
    <t>dms_frcp_fy11</t>
  </si>
  <si>
    <t>2026-27</t>
  </si>
  <si>
    <t>dms_crcp_cy11</t>
  </si>
  <si>
    <t>2005-06</t>
  </si>
  <si>
    <t>2006</t>
  </si>
  <si>
    <t>dms_cy12</t>
  </si>
  <si>
    <t>dms_frcp_fy12</t>
  </si>
  <si>
    <t>2027-28</t>
  </si>
  <si>
    <t>dms_crcp_cy12</t>
  </si>
  <si>
    <t>2007</t>
  </si>
  <si>
    <t>dms_cy13</t>
  </si>
  <si>
    <t>dms_frcp_fy13</t>
  </si>
  <si>
    <t>2028-29</t>
  </si>
  <si>
    <t>dms_crcp_cy13</t>
  </si>
  <si>
    <t>dms_cy14</t>
  </si>
  <si>
    <t>dms_frcp_fy14</t>
  </si>
  <si>
    <t>2029-30</t>
  </si>
  <si>
    <t>dms_crcp_cy14</t>
  </si>
  <si>
    <t>dms_cy15</t>
  </si>
  <si>
    <t>dms_frcp_fy15</t>
  </si>
  <si>
    <t>2030-31</t>
  </si>
  <si>
    <t>dms_crcp_cy15</t>
  </si>
  <si>
    <t>dms_cy16</t>
  </si>
  <si>
    <t>dms_cy17</t>
  </si>
  <si>
    <t>dms_cy18</t>
  </si>
  <si>
    <t>dms_cy19</t>
  </si>
  <si>
    <t>dms_cy20</t>
  </si>
  <si>
    <t>2031-32</t>
  </si>
  <si>
    <t>2032-33</t>
  </si>
  <si>
    <t>2033-34</t>
  </si>
  <si>
    <t>2034-35</t>
  </si>
  <si>
    <t>2035-36</t>
  </si>
  <si>
    <t>Instructions</t>
  </si>
  <si>
    <t>Actual and estimated inflation</t>
  </si>
  <si>
    <t>added (Albury and Victora) for AGN</t>
  </si>
  <si>
    <t>inserted Power and Water, added NRs (dms_FeederCat_1 and dms_FeederCat_2)</t>
  </si>
  <si>
    <t>inserted AEMO as a business</t>
  </si>
  <si>
    <t>Column1</t>
  </si>
  <si>
    <t>AEMO</t>
  </si>
  <si>
    <t>Australian Energy Market Operator Ltd</t>
  </si>
  <si>
    <t>Level 22</t>
  </si>
  <si>
    <t>530 Collins Street</t>
  </si>
  <si>
    <t>GPO Box 2008</t>
  </si>
  <si>
    <t>AGN (Albury and Victoria)</t>
  </si>
  <si>
    <t>Australian Gas Networks Limited (reporting data for Albury and Victoria)</t>
  </si>
  <si>
    <t>Level 6</t>
  </si>
  <si>
    <t>400 King William Street</t>
  </si>
  <si>
    <t>PO Box 6468</t>
  </si>
  <si>
    <t>Halifax Street</t>
  </si>
  <si>
    <t>Craig de Laine</t>
  </si>
  <si>
    <t xml:space="preserve">08 8418 1129 </t>
  </si>
  <si>
    <t>craig.delaine@agn.com.au</t>
  </si>
  <si>
    <t>Australian Gas Networks Limited (reporting data for SA)</t>
  </si>
  <si>
    <t>065083009</t>
  </si>
  <si>
    <t>GPO Box 4009</t>
  </si>
  <si>
    <t>AusNet Electricity Services Pty Ltd</t>
  </si>
  <si>
    <t>086015036</t>
  </si>
  <si>
    <t>Ausnet Services (Transmission) Ltd</t>
  </si>
  <si>
    <t>Australian Distribution Co. (Vic)</t>
  </si>
  <si>
    <t>Australian Distribution Co. (Victoria)</t>
  </si>
  <si>
    <t>Scott Young</t>
  </si>
  <si>
    <t>02 9275 0031</t>
  </si>
  <si>
    <t>scott.young@apa.com.au</t>
  </si>
  <si>
    <t>Matthew Serpell</t>
  </si>
  <si>
    <t>03 9173 8231</t>
  </si>
  <si>
    <t>matthew.serpell@jemena.com.au</t>
  </si>
  <si>
    <t>Jemena Gas Networks (NSW) Ltd</t>
  </si>
  <si>
    <t>003 004 322</t>
  </si>
  <si>
    <t>086026986</t>
  </si>
  <si>
    <t>Level 19</t>
  </si>
  <si>
    <t>Lucy Moon</t>
  </si>
  <si>
    <t>08 8924 5822</t>
  </si>
  <si>
    <t>Lucy.Moon@powerwater.com.au</t>
  </si>
  <si>
    <t>Mark Allen</t>
  </si>
  <si>
    <t>02 9275 0010</t>
  </si>
  <si>
    <t>mark.allen@apa.com.au</t>
  </si>
  <si>
    <t>Richard Sibly</t>
  </si>
  <si>
    <t>08 8404 5613</t>
  </si>
  <si>
    <t>richard.sibly@sapowernetworks.com.au</t>
  </si>
  <si>
    <t>John Sayers</t>
  </si>
  <si>
    <t>03 6271 6469</t>
  </si>
  <si>
    <t>john.sayers@tasnetworks.com.au</t>
  </si>
  <si>
    <t>For AARs only</t>
  </si>
  <si>
    <t>For DNSPs only</t>
  </si>
  <si>
    <t>dms_030605_UOM</t>
  </si>
  <si>
    <t>dms_03060703_UOM</t>
  </si>
  <si>
    <t>major changes to accommodate STPIS</t>
  </si>
  <si>
    <t>Template Version</t>
  </si>
  <si>
    <t>dms_Public_Lighting_List</t>
  </si>
  <si>
    <t>02 9269 2312</t>
  </si>
  <si>
    <t>please provide contact details</t>
  </si>
  <si>
    <t>Australian Distribution Co. (Gas)</t>
  </si>
  <si>
    <t xml:space="preserve">Australian Gas Distribution Co. </t>
  </si>
  <si>
    <t>Central Ranges Pipeline (D)</t>
  </si>
  <si>
    <t>Central Ranges Pipeline Pty Ltd</t>
  </si>
  <si>
    <t>Central Ranges Pipeline (T)</t>
  </si>
  <si>
    <t>43-45 Centreway</t>
  </si>
  <si>
    <t>MT WAVERLEY</t>
  </si>
  <si>
    <t>Andrew Schille</t>
  </si>
  <si>
    <t>03 8846 9860</t>
  </si>
  <si>
    <t>andrew.schille@ue.com.au</t>
  </si>
  <si>
    <t>70 250 995 390</t>
  </si>
  <si>
    <t>dms_Worksheet_List</t>
  </si>
  <si>
    <t>dms_020701_01_UOM</t>
  </si>
  <si>
    <t>dms_020701_02_UOM</t>
  </si>
  <si>
    <t>dms_020701_01_Rows</t>
  </si>
  <si>
    <t>Route line length within zone</t>
  </si>
  <si>
    <t>Number of maintenance spans</t>
  </si>
  <si>
    <t>Total length of maintenance spans</t>
  </si>
  <si>
    <t>Length of vegetation corridors</t>
  </si>
  <si>
    <t>Average number of trees per maintenance span</t>
  </si>
  <si>
    <t>years</t>
  </si>
  <si>
    <t>Average frequency of cutting cycle</t>
  </si>
  <si>
    <t>dms_STPIS_Exclusion_List</t>
  </si>
  <si>
    <t>dms_020301_ProjectType_List</t>
  </si>
  <si>
    <t>dms_020302_ProjectType_List</t>
  </si>
  <si>
    <t>New substation establishment</t>
  </si>
  <si>
    <t>Equipment failure</t>
  </si>
  <si>
    <t>Capacity upgrade</t>
  </si>
  <si>
    <t>Operational error</t>
  </si>
  <si>
    <t>Voltage upgrade</t>
  </si>
  <si>
    <t>Animals</t>
  </si>
  <si>
    <t>Third party impacts</t>
  </si>
  <si>
    <t>Transmission failure</t>
  </si>
  <si>
    <t>Load shedding</t>
  </si>
  <si>
    <t>Reconductor - Other</t>
  </si>
  <si>
    <t>Inter-distributor connection failure</t>
  </si>
  <si>
    <t>Line upgrade - raising/retensoring</t>
  </si>
  <si>
    <t>Line upgrade - voltage upgrade</t>
  </si>
  <si>
    <t>Line upgrade - capacity</t>
  </si>
  <si>
    <t>String spare circuit</t>
  </si>
  <si>
    <t>dms_Financial_Years</t>
  </si>
  <si>
    <t>dms_Calendar_Years</t>
  </si>
  <si>
    <t>dms_y1</t>
  </si>
  <si>
    <t>dms_y2</t>
  </si>
  <si>
    <t>dms_y3</t>
  </si>
  <si>
    <t>dms_y4</t>
  </si>
  <si>
    <t>dms_y5</t>
  </si>
  <si>
    <t>dms_y6</t>
  </si>
  <si>
    <t>dms_y7</t>
  </si>
  <si>
    <t>dms_y8</t>
  </si>
  <si>
    <t>dms_y9</t>
  </si>
  <si>
    <t>dms_y10</t>
  </si>
  <si>
    <t>dms_y11</t>
  </si>
  <si>
    <t>dms_y12</t>
  </si>
  <si>
    <t>dms_y13</t>
  </si>
  <si>
    <t>dms_y14</t>
  </si>
  <si>
    <t>dms_y15</t>
  </si>
  <si>
    <t>dms_y16</t>
  </si>
  <si>
    <t>dms_y17</t>
  </si>
  <si>
    <t>dms_y18</t>
  </si>
  <si>
    <t>dms_y19</t>
  </si>
  <si>
    <t>dms_y20</t>
  </si>
  <si>
    <t>These "row descriptions" are the column headings in the various templates but become row descriptions in the ETL process</t>
  </si>
  <si>
    <t>Table 6.3 sustained interruptions - row descriptions</t>
  </si>
  <si>
    <t>dms_060301_CustNo_Affected_Row</t>
  </si>
  <si>
    <t>dms_060301_Avg_Duration_Sustained_Int_Row</t>
  </si>
  <si>
    <t>dms_060301_Effect_unplanned_SAIDI_Row</t>
  </si>
  <si>
    <t>dms_060301_Effect_unplanned_SAIFI_Row</t>
  </si>
  <si>
    <t>Number of customers affected by the interruption</t>
  </si>
  <si>
    <t>Average duration of sustained customer interruption</t>
  </si>
  <si>
    <t>Effect on unplanned SAIDI</t>
  </si>
  <si>
    <t>Effect on unplanned SAIFI</t>
  </si>
  <si>
    <t>Table 6.1 telephone answering - row descriptions and start date</t>
  </si>
  <si>
    <t>dms_060101_Rows</t>
  </si>
  <si>
    <t>dms_060102_Rows</t>
  </si>
  <si>
    <t>dms_060101_StartDateTxt</t>
  </si>
  <si>
    <t>Total number of calls 
(after removing excluded events)</t>
  </si>
  <si>
    <t xml:space="preserve">Number of calls answered within 30 seconds 
(after excluding excluded events) </t>
  </si>
  <si>
    <t>dms_0603_FeederList</t>
  </si>
  <si>
    <t>Table 6.7.1 - daily performance data - unplanned - MAIFI  -- row descriptions and header named range values</t>
  </si>
  <si>
    <t>These headings (Lists) are determined from the INDEX/MATCH function on the NSP selected on the Business &amp; other details sheet</t>
  </si>
  <si>
    <t>dms_060701_Feeder_Header_Lvl4</t>
  </si>
  <si>
    <t>Network</t>
  </si>
  <si>
    <t>dms_060701_Rows</t>
  </si>
  <si>
    <t>All events</t>
  </si>
  <si>
    <t>After removing excluded events</t>
  </si>
  <si>
    <t>the number of column headings changes from 10 to 12 depending on the number of feeder categories for the NSP</t>
  </si>
  <si>
    <t>Table 6.8.1 - row descriptions</t>
  </si>
  <si>
    <t>dms_060801_01_Rows</t>
  </si>
  <si>
    <t>dms_060801_02_Rows</t>
  </si>
  <si>
    <t>dms_060801_03_Rows</t>
  </si>
  <si>
    <t>dms_060801_04_Rows</t>
  </si>
  <si>
    <t>Number of interruptions</t>
  </si>
  <si>
    <t>Duration of interruptions</t>
  </si>
  <si>
    <t>Total unplanned minutes off supply</t>
  </si>
  <si>
    <t>Effect on unplanned MAIFI</t>
  </si>
  <si>
    <t>Table 7.9.4 - market impact component - row descriptions</t>
  </si>
  <si>
    <t>dms_070904_01_Rows</t>
  </si>
  <si>
    <t>without exclusions</t>
  </si>
  <si>
    <t>with exclusions</t>
  </si>
  <si>
    <t>Use this to add to existing files</t>
  </si>
  <si>
    <t>ARRs 6.7 STPIS daily performance</t>
  </si>
  <si>
    <t>dms_060101_Values</t>
  </si>
  <si>
    <t>dms_060102_Values</t>
  </si>
  <si>
    <t>dms_060701_Values</t>
  </si>
  <si>
    <t>ARR's  6.8 STPIS exclusions</t>
  </si>
  <si>
    <t>dms_060801_Event_Date</t>
  </si>
  <si>
    <t>dms_060801_OutageID</t>
  </si>
  <si>
    <t>dms_060801_FeederID</t>
  </si>
  <si>
    <t>dms_060801_FeederClass</t>
  </si>
  <si>
    <t>dms_060801_CauseID</t>
  </si>
  <si>
    <t>dms_060801_01_Values</t>
  </si>
  <si>
    <t>dms_060801_02_Values</t>
  </si>
  <si>
    <t>dms_060801_03_Values</t>
  </si>
  <si>
    <t>dms_060801_Excl_Cat</t>
  </si>
  <si>
    <t>dms_060801_04_Values</t>
  </si>
  <si>
    <t>dms_060801_StartCell</t>
  </si>
  <si>
    <t>CA 6.3 sustained interruptions</t>
  </si>
  <si>
    <t>dms_060301_Event_Date</t>
  </si>
  <si>
    <t>dms_060301_Event_Time</t>
  </si>
  <si>
    <t>dms_060301_AssetID</t>
  </si>
  <si>
    <t>dms_060301_FeederClass</t>
  </si>
  <si>
    <t>dms_060301_Reason</t>
  </si>
  <si>
    <t>dms_060301_DetailedReason</t>
  </si>
  <si>
    <t>dms_060301_CustNo_Affected_Values</t>
  </si>
  <si>
    <t>dms_060301_Avg_Duration_Sustained_Int_Values</t>
  </si>
  <si>
    <t>dms_060301_Effect_unplanned_SAIDI_Values</t>
  </si>
  <si>
    <t>dms_060301_Effect_unplanned_SAIFI_Values</t>
  </si>
  <si>
    <t>dms_060301_MED</t>
  </si>
  <si>
    <t xml:space="preserve">Total </t>
  </si>
  <si>
    <t>Less approved excludable costs</t>
  </si>
  <si>
    <t>$m, Actual</t>
  </si>
  <si>
    <t>Inflation rate (per cent)</t>
  </si>
  <si>
    <t>dms_Confid_status_List</t>
  </si>
  <si>
    <t>Confidential</t>
  </si>
  <si>
    <t>Total opex (actual, excluding debt raising costs)</t>
  </si>
  <si>
    <t>Total opex allowance</t>
  </si>
  <si>
    <t>DBNGP</t>
  </si>
  <si>
    <t>2021 to 2025</t>
  </si>
  <si>
    <t>$m, real Dec 2020</t>
  </si>
  <si>
    <t>E FACTOR (OPEX INCENTIVE MECHANISM)</t>
  </si>
  <si>
    <t>1.2 - Actual and estimated opex applicable to E Factor</t>
  </si>
  <si>
    <t>Forecast opex for E Factor purposes</t>
  </si>
  <si>
    <t>Actual opex for E Factor purposes</t>
  </si>
  <si>
    <t>ABS CPI index - Dec</t>
  </si>
  <si>
    <t>Cumulative index (2020=1)</t>
  </si>
  <si>
    <t>1.1 - Opex allowance applicable to E Factor (E Factor benchmark)</t>
  </si>
  <si>
    <t>Current access arrangement period</t>
  </si>
  <si>
    <t>E Factor carry-over amounts</t>
  </si>
  <si>
    <r>
      <t>Efficiency gains are calculated using the formulae below.  Adjusted target and actual amounts are used to calculate the carry-over amounts.
There are no carry-over amounts that apply to AA5, as the scheme will only start during the AA5 period.
For the first application of the scheme in AA6, the efficiency carry-over amount for the first year of the access arrangement period is expressed mathematically as: 
                 E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= B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– A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where A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is the actual operating expenditure less E Factor exclusions for year 1 and B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is the E Factor benchmark for that year. 
For savings that arise in the second to fifth year of the access arrangement period, the efficiency carry-over amount is calculated as:
                 E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= (B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– A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>) – (B</t>
    </r>
    <r>
      <rPr>
        <vertAlign val="subscript"/>
        <sz val="10"/>
        <rFont val="Arial"/>
        <family val="2"/>
      </rPr>
      <t>t-1</t>
    </r>
    <r>
      <rPr>
        <sz val="10"/>
        <rFont val="Arial"/>
        <family val="2"/>
      </rPr>
      <t xml:space="preserve"> – A</t>
    </r>
    <r>
      <rPr>
        <vertAlign val="subscript"/>
        <sz val="10"/>
        <rFont val="Arial"/>
        <family val="2"/>
      </rPr>
      <t>t-1</t>
    </r>
    <r>
      <rPr>
        <sz val="10"/>
        <rFont val="Arial"/>
        <family val="2"/>
      </rPr>
      <t>), where: Et is the efficiency benefit/loss in year t;
                 Bt, Bt-1 is the forecast operating expenditure for the years t and t-1 respectively; and
                 A</t>
    </r>
    <r>
      <rPr>
        <vertAlign val="subscript"/>
        <sz val="10"/>
        <rFont val="Arial"/>
        <family val="2"/>
      </rPr>
      <t xml:space="preserve">t, </t>
    </r>
    <r>
      <rPr>
        <sz val="10"/>
        <rFont val="Arial"/>
        <family val="2"/>
      </rPr>
      <t>A</t>
    </r>
    <r>
      <rPr>
        <vertAlign val="subscript"/>
        <sz val="10"/>
        <rFont val="Arial"/>
        <family val="2"/>
      </rPr>
      <t>t-1</t>
    </r>
    <r>
      <rPr>
        <sz val="10"/>
        <rFont val="Arial"/>
        <family val="2"/>
      </rPr>
      <t xml:space="preserve"> is the actual operating expenditure for the years t and t-1 respectively.               
Because the revenue determination for the subsequent period will occur prior to the completion of the current period, opex for the final year will be estimated as follows:
                 A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 xml:space="preserve"> = B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 xml:space="preserve"> – (B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– A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)
where
A5 is the estimate of operating expenditure less E Factor exclusions for the fifth year of the access arrangement period;
B5 is the E Factor benchmark for the fifth year of the access arrangement period;
B4 is the E Factor benchmark for the fourth year of the access arrangement period; and
A4 is the actual operating expenditure less E Factor exclusions for the fourth year of the access arrangement period.</t>
    </r>
  </si>
  <si>
    <t>Subsequent access arrangement period</t>
  </si>
  <si>
    <t>Total carry-over amount ($million, 2020)</t>
  </si>
  <si>
    <t>Tariff model inputs</t>
  </si>
  <si>
    <t>E Factor incentive</t>
  </si>
  <si>
    <t>Fuel gas (AA clause 15.11 (b)(i))</t>
  </si>
  <si>
    <t>Turbine / GEA overhauls (AA clause 15.11 (b)(ii))</t>
  </si>
  <si>
    <t>Reclassified capex to opex (AA clause 15.12)</t>
  </si>
  <si>
    <t>Opex incurred to reduce capex (AA clause 15.11 (d))</t>
  </si>
  <si>
    <t>1 - The carryover amounts that arise from applying the E Factor during the 2021 to 2025 access arrangement period</t>
  </si>
  <si>
    <t>Land access fees payable under the Dampier to Bunbury Pipeline Act 1997 (WA) (AA clause 15.11(c)(i))</t>
  </si>
  <si>
    <t>PL40 pipeline licence payable under the Petroleum Pipelines Act 1969 (WA) (AA clause 15.11(c)(ii))</t>
  </si>
  <si>
    <t>Radiocommunication licences under the Radiocommunications Act 1992 (Cth) and associated Determinations (AA clause 15.11(c)(ii))</t>
  </si>
  <si>
    <t>Costs payable to the ERA under Economic Regulation Authority (National Gas Access Funding) Regulation 2009 (WA) (AA clause 15.11(c)(iii))</t>
  </si>
  <si>
    <t>Safety levies payable to the Department of Mines, Industry Regulation and Safety WA (AA clause 15.11(c)(iv))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</si>
</sst>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\ ###\ ###\ ###\ ##0"/>
    <numFmt numFmtId="165" formatCode="_([$€-2]* #,##0.00_);_([$€-2]* \(#,##0.00\);_([$€-2]* &quot;-&quot;??_)"/>
    <numFmt numFmtId="166" formatCode="_-* #,##0.00_-;[Red]\(#,##0.00\)_-;_-* &quot;-&quot;??_-;_-@_-"/>
    <numFmt numFmtId="167" formatCode="_(* #,##0_);_(* \(#,##0\);_(* &quot;-&quot;_);_(@_)"/>
    <numFmt numFmtId="168" formatCode="_(* #,##0.00_);_(* \(#,##0.00\);_(* &quot;-&quot;??_);_(@_)"/>
    <numFmt numFmtId="169" formatCode="_(&quot;$&quot;* #,##0.00_);_(&quot;$&quot;* \(#,##0.00\);_(&quot;$&quot;* &quot;-&quot;??_);_(@_)"/>
    <numFmt numFmtId="170" formatCode="mm/dd/yy"/>
    <numFmt numFmtId="171" formatCode="0_);[Red]\(0\)"/>
    <numFmt numFmtId="172" formatCode="0.0%"/>
    <numFmt numFmtId="173" formatCode="_(* #,##0.0_);_(* \(#,##0.0\);_(* &quot;-&quot;?_);_(@_)"/>
    <numFmt numFmtId="174" formatCode="_(* #,##0_);_(* \(#,##0\);_(* &quot;-&quot;?_);_(@_)"/>
    <numFmt numFmtId="175" formatCode="#,##0.000_ ;[Red]\-#,##0.000\ "/>
    <numFmt numFmtId="176" formatCode="#,##0.0_);\(#,##0.0\)"/>
    <numFmt numFmtId="177" formatCode="#,##0_ ;\-#,##0\ "/>
    <numFmt numFmtId="178" formatCode="#,##0;[Red]\(#,##0.0\)"/>
    <numFmt numFmtId="179" formatCode="#,##0_ ;[Red]\(#,##0\)\ "/>
    <numFmt numFmtId="180" formatCode="#,##0.00;\(#,##0.00\)"/>
    <numFmt numFmtId="181" formatCode="_)d\-mmm\-yy_)"/>
    <numFmt numFmtId="182" formatCode="_(#,##0.0_);\(#,##0.0\);_(&quot;-&quot;_)"/>
    <numFmt numFmtId="183" formatCode="_(###0_);\(###0\);_(###0_)"/>
    <numFmt numFmtId="184" formatCode="#,##0.0000_);[Red]\(#,##0.0000\)"/>
    <numFmt numFmtId="185" formatCode="0.0"/>
    <numFmt numFmtId="186" formatCode="_-* #,##0_-;\-* #,##0_-;_-* &quot;-&quot;??_-;_-@_-"/>
    <numFmt numFmtId="187" formatCode="#,##0_ ;\(#,##0\)_ "/>
    <numFmt numFmtId="188" formatCode="#,##0.0_ ;\-#,##0.0\ "/>
    <numFmt numFmtId="189" formatCode="0###"/>
    <numFmt numFmtId="190" formatCode="#,##0.00000"/>
    <numFmt numFmtId="191" formatCode="#,##0.0000"/>
    <numFmt numFmtId="192" formatCode="0.000"/>
    <numFmt numFmtId="193" formatCode="0.000000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7" tint="-0.249977111117893"/>
      <name val="Arial"/>
      <family val="2"/>
    </font>
    <font>
      <sz val="11"/>
      <color theme="8" tint="-0.249977111117893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sz val="11"/>
      <color theme="0" tint="-0.34998626667073579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808080"/>
      <name val="Arial"/>
      <family val="2"/>
    </font>
    <font>
      <sz val="9"/>
      <color rgb="FF80808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name val="Helv"/>
      <charset val="204"/>
    </font>
    <font>
      <sz val="14"/>
      <name val="System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"/>
      <name val="Arial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b/>
      <sz val="9"/>
      <color indexed="9"/>
      <name val="Arial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b/>
      <sz val="11"/>
      <color indexed="63"/>
      <name val="Calibri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2"/>
      <color theme="0"/>
      <name val="Calibri"/>
      <family val="2"/>
      <scheme val="minor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1"/>
      <color indexed="10"/>
      <name val="Calibri"/>
      <family val="2"/>
    </font>
    <font>
      <b/>
      <sz val="16"/>
      <color theme="0"/>
      <name val="Arial"/>
      <family val="2"/>
    </font>
    <font>
      <sz val="10"/>
      <color theme="0" tint="-0.499984740745262"/>
      <name val="Arial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Arial"/>
      <family val="2"/>
    </font>
    <font>
      <sz val="5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1"/>
      <color theme="4" tint="-0.249977111117893"/>
      <name val="Calibri"/>
      <family val="2"/>
      <scheme val="minor"/>
    </font>
    <font>
      <strike/>
      <sz val="11"/>
      <color theme="1"/>
      <name val="Arial"/>
      <family val="2"/>
    </font>
    <font>
      <strike/>
      <sz val="11"/>
      <color theme="1"/>
      <name val="Calibri"/>
      <family val="2"/>
      <scheme val="minor"/>
    </font>
    <font>
      <strike/>
      <sz val="10"/>
      <name val="Arial"/>
      <family val="2"/>
    </font>
    <font>
      <sz val="11"/>
      <color theme="4"/>
      <name val="Calibri"/>
      <family val="2"/>
      <scheme val="minor"/>
    </font>
    <font>
      <sz val="10"/>
      <color theme="4"/>
      <name val="Arial"/>
      <family val="2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vertAlign val="subscript"/>
      <sz val="10"/>
      <name val="Arial"/>
      <family val="2"/>
    </font>
  </fonts>
  <fills count="8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rgb="FF00FFFF"/>
      </patternFill>
    </fill>
    <fill>
      <patternFill patternType="solid">
        <fgColor theme="0"/>
        <bgColor rgb="FF00FFFF"/>
      </patternFill>
    </fill>
    <fill>
      <patternFill patternType="solid">
        <fgColor theme="1" tint="0.249977111117893"/>
        <bgColor rgb="FF00FFFF"/>
      </patternFill>
    </fill>
    <fill>
      <patternFill patternType="solid">
        <fgColor theme="0" tint="-0.249977111117893"/>
        <bgColor rgb="FF00FFFF"/>
      </patternFill>
    </fill>
    <fill>
      <patternFill patternType="solid">
        <fgColor rgb="FFFFC000"/>
        <bgColor rgb="FF00FFFF"/>
      </patternFill>
    </fill>
  </fills>
  <borders count="2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auto="1"/>
      </bottom>
      <diagonal/>
    </border>
    <border>
      <left/>
      <right/>
      <top style="medium">
        <color rgb="FFFF0000"/>
      </top>
      <bottom style="medium">
        <color auto="1"/>
      </bottom>
      <diagonal/>
    </border>
    <border>
      <left/>
      <right style="medium">
        <color rgb="FFFF0000"/>
      </right>
      <top style="medium">
        <color rgb="FFFF0000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FBFBF"/>
      </right>
      <top style="medium">
        <color indexed="64"/>
      </top>
      <bottom style="medium">
        <color auto="1"/>
      </bottom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medium">
        <color auto="1"/>
      </bottom>
      <diagonal/>
    </border>
    <border>
      <left style="thin">
        <color rgb="FFBFBFBF"/>
      </left>
      <right/>
      <top style="medium">
        <color indexed="64"/>
      </top>
      <bottom style="medium">
        <color auto="1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rgb="FFBFBFBF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rgb="FFBFBFBF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medium">
        <color rgb="FFFF000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FF0000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medium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rgb="FFFF000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medium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rgb="FFBFBFBF"/>
      </left>
      <right/>
      <top style="thin">
        <color rgb="FFBFBFBF"/>
      </top>
      <bottom style="medium">
        <color auto="1"/>
      </bottom>
      <diagonal/>
    </border>
    <border>
      <left style="medium">
        <color rgb="FFFF0000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rgb="FFFF0000"/>
      </right>
      <top style="thin">
        <color theme="0" tint="-0.2499465926084170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rgb="FFFF0000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rgb="FFFF0000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theme="0" tint="-0.24994659260841701"/>
      </right>
      <top style="thin">
        <color theme="0" tint="-0.24994659260841701"/>
      </top>
      <bottom style="medium">
        <color rgb="FFFF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rgb="FFFF0000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8" tint="-0.249977111117893"/>
      </left>
      <right/>
      <top style="medium">
        <color theme="8" tint="-0.249977111117893"/>
      </top>
      <bottom/>
      <diagonal/>
    </border>
    <border>
      <left/>
      <right/>
      <top style="medium">
        <color theme="8" tint="-0.249977111117893"/>
      </top>
      <bottom/>
      <diagonal/>
    </border>
    <border>
      <left/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9" tint="-0.249977111117893"/>
      </left>
      <right style="thin">
        <color rgb="FFA6A6A6"/>
      </right>
      <top style="medium">
        <color auto="1"/>
      </top>
      <bottom style="medium">
        <color auto="1"/>
      </bottom>
      <diagonal/>
    </border>
    <border>
      <left style="thin">
        <color rgb="FFA6A6A6"/>
      </left>
      <right style="thin">
        <color rgb="FFA6A6A6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rgb="FFA6A6A6"/>
      </right>
      <top style="medium">
        <color auto="1"/>
      </top>
      <bottom style="medium">
        <color auto="1"/>
      </bottom>
      <diagonal/>
    </border>
    <border>
      <left style="thin">
        <color rgb="FFBFBFBF"/>
      </left>
      <right style="medium">
        <color theme="9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8" tint="-0.249977111117893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medium">
        <color theme="8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9" tint="-0.249977111117893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medium">
        <color indexed="64"/>
      </left>
      <right style="thin">
        <color rgb="FFA6A6A6"/>
      </right>
      <top/>
      <bottom style="thin">
        <color rgb="FFA6A6A6"/>
      </bottom>
      <diagonal/>
    </border>
    <border>
      <left style="thin">
        <color rgb="FFBFBFBF"/>
      </left>
      <right style="medium">
        <color theme="9" tint="-0.249977111117893"/>
      </right>
      <top/>
      <bottom style="thin">
        <color rgb="FFBFBFBF"/>
      </bottom>
      <diagonal/>
    </border>
    <border>
      <left style="medium">
        <color theme="8" tint="-0.249977111117893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medium">
        <color theme="8" tint="-0.249977111117893"/>
      </right>
      <top/>
      <bottom/>
      <diagonal/>
    </border>
    <border>
      <left style="medium">
        <color theme="9" tint="-0.249977111117893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indexed="64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BFBFBF"/>
      </left>
      <right style="medium">
        <color theme="9" tint="-0.249977111117893"/>
      </right>
      <top style="thin">
        <color rgb="FFBFBFBF"/>
      </top>
      <bottom style="thin">
        <color rgb="FFBFBFBF"/>
      </bottom>
      <diagonal/>
    </border>
    <border>
      <left style="medium">
        <color theme="9" tint="-0.249977111117893"/>
      </left>
      <right style="thin">
        <color rgb="FFA6A6A6"/>
      </right>
      <top style="thin">
        <color rgb="FFA6A6A6"/>
      </top>
      <bottom style="thin">
        <color rgb="FFBFBFBF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BFBFBF"/>
      </bottom>
      <diagonal/>
    </border>
    <border>
      <left style="medium">
        <color indexed="64"/>
      </left>
      <right style="thin">
        <color rgb="FFA6A6A6"/>
      </right>
      <top style="thin">
        <color rgb="FFA6A6A6"/>
      </top>
      <bottom style="thin">
        <color rgb="FFBFBFBF"/>
      </bottom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theme="9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rgb="FFBFBFB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BFBFBF"/>
      </bottom>
      <diagonal/>
    </border>
    <border>
      <left/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medium">
        <color indexed="64"/>
      </right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medium">
        <color auto="1"/>
      </left>
      <right style="thin">
        <color auto="1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theme="8" tint="-0.249977111117893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theme="8" tint="-0.249977111117893"/>
      </bottom>
      <diagonal/>
    </border>
    <border>
      <left/>
      <right/>
      <top/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 style="medium">
        <color theme="8" tint="-0.249977111117893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rgb="FFBFBFBF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rgb="FFBFBF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9" tint="-0.249977111117893"/>
      </left>
      <right style="thin">
        <color theme="0" tint="-0.24994659260841701"/>
      </right>
      <top style="thin">
        <color theme="0" tint="-0.24994659260841701"/>
      </top>
      <bottom style="medium">
        <color theme="9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9" tint="-0.249977111117893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auto="1"/>
      </bottom>
      <diagonal/>
    </border>
    <border>
      <left style="medium">
        <color auto="1"/>
      </left>
      <right style="thin">
        <color theme="0" tint="-0.34998626667073579"/>
      </right>
      <top/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auto="1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4"/>
      </top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FF0000"/>
      </bottom>
      <diagonal/>
    </border>
    <border>
      <left/>
      <right/>
      <top style="medium">
        <color auto="1"/>
      </top>
      <bottom style="medium">
        <color rgb="FFFF0000"/>
      </bottom>
      <diagonal/>
    </border>
    <border>
      <left/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auto="1"/>
      </bottom>
      <diagonal/>
    </border>
    <border>
      <left/>
      <right style="medium">
        <color rgb="FFFF0000"/>
      </right>
      <top/>
      <bottom style="medium">
        <color auto="1"/>
      </bottom>
      <diagonal/>
    </border>
    <border>
      <left style="medium">
        <color rgb="FFFF0000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</borders>
  <cellStyleXfs count="711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18" borderId="0"/>
    <xf numFmtId="0" fontId="1" fillId="0" borderId="0"/>
    <xf numFmtId="0" fontId="1" fillId="0" borderId="0"/>
    <xf numFmtId="0" fontId="3" fillId="18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30" fillId="0" borderId="0"/>
    <xf numFmtId="0" fontId="30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166" fontId="32" fillId="0" borderId="0"/>
    <xf numFmtId="166" fontId="32" fillId="0" borderId="0"/>
    <xf numFmtId="0" fontId="33" fillId="38" borderId="0" applyNumberFormat="0" applyBorder="0" applyAlignment="0" applyProtection="0"/>
    <xf numFmtId="0" fontId="1" fillId="2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8" borderId="0" applyNumberFormat="0" applyBorder="0" applyAlignment="0" applyProtection="0"/>
    <xf numFmtId="0" fontId="1" fillId="3" borderId="0" applyNumberFormat="0" applyBorder="0" applyAlignment="0" applyProtection="0"/>
    <xf numFmtId="0" fontId="33" fillId="39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2" borderId="0" applyNumberFormat="0" applyBorder="0" applyAlignment="0" applyProtection="0"/>
    <xf numFmtId="0" fontId="34" fillId="43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51" borderId="0" applyNumberFormat="0" applyBorder="0" applyAlignment="0" applyProtection="0"/>
    <xf numFmtId="0" fontId="34" fillId="48" borderId="0" applyNumberFormat="0" applyBorder="0" applyAlignment="0" applyProtection="0"/>
    <xf numFmtId="0" fontId="34" fillId="52" borderId="0" applyNumberFormat="0" applyBorder="0" applyAlignment="0" applyProtection="0"/>
    <xf numFmtId="0" fontId="33" fillId="44" borderId="0" applyNumberFormat="0" applyBorder="0" applyAlignment="0" applyProtection="0"/>
    <xf numFmtId="0" fontId="33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5" fillId="0" borderId="0"/>
    <xf numFmtId="42" fontId="36" fillId="0" borderId="0" applyFont="0" applyFill="0" applyBorder="0" applyAlignment="0" applyProtection="0"/>
    <xf numFmtId="0" fontId="37" fillId="57" borderId="0" applyNumberFormat="0" applyBorder="0" applyAlignment="0" applyProtection="0"/>
    <xf numFmtId="0" fontId="38" fillId="0" borderId="0" applyNumberFormat="0" applyFill="0" applyBorder="0" applyAlignment="0"/>
    <xf numFmtId="167" fontId="3" fillId="58" borderId="0" applyNumberFormat="0" applyFont="0" applyBorder="0" applyAlignment="0">
      <alignment horizontal="right"/>
    </xf>
    <xf numFmtId="41" fontId="3" fillId="58" borderId="0" applyNumberFormat="0" applyFont="0" applyBorder="0" applyAlignment="0">
      <alignment horizontal="right"/>
    </xf>
    <xf numFmtId="167" fontId="3" fillId="58" borderId="0" applyNumberFormat="0" applyFont="0" applyBorder="0" applyAlignment="0">
      <alignment horizontal="right"/>
    </xf>
    <xf numFmtId="167" fontId="3" fillId="58" borderId="0" applyNumberFormat="0" applyFont="0" applyBorder="0" applyAlignment="0">
      <alignment horizontal="right"/>
    </xf>
    <xf numFmtId="0" fontId="39" fillId="0" borderId="0" applyNumberFormat="0" applyFill="0" applyBorder="0" applyAlignment="0">
      <protection locked="0"/>
    </xf>
    <xf numFmtId="0" fontId="40" fillId="41" borderId="146" applyNumberFormat="0" applyAlignment="0" applyProtection="0"/>
    <xf numFmtId="0" fontId="40" fillId="41" borderId="146" applyNumberFormat="0" applyAlignment="0" applyProtection="0"/>
    <xf numFmtId="0" fontId="40" fillId="41" borderId="146" applyNumberFormat="0" applyAlignment="0" applyProtection="0"/>
    <xf numFmtId="0" fontId="40" fillId="41" borderId="146" applyNumberFormat="0" applyAlignment="0" applyProtection="0"/>
    <xf numFmtId="0" fontId="40" fillId="41" borderId="146" applyNumberFormat="0" applyAlignment="0" applyProtection="0"/>
    <xf numFmtId="0" fontId="40" fillId="41" borderId="146" applyNumberFormat="0" applyAlignment="0" applyProtection="0"/>
    <xf numFmtId="0" fontId="40" fillId="41" borderId="146" applyNumberFormat="0" applyAlignment="0" applyProtection="0"/>
    <xf numFmtId="0" fontId="41" fillId="59" borderId="147" applyNumberFormat="0" applyAlignment="0" applyProtection="0"/>
    <xf numFmtId="0" fontId="41" fillId="59" borderId="147" applyNumberFormat="0" applyAlignment="0" applyProtection="0"/>
    <xf numFmtId="41" fontId="3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4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9" fontId="9" fillId="60" borderId="11">
      <alignment horizontal="center" vertical="center" wrapText="1"/>
    </xf>
    <xf numFmtId="0" fontId="45" fillId="62" borderId="0" applyNumberFormat="0" applyBorder="0" applyAlignment="0" applyProtection="0"/>
    <xf numFmtId="0" fontId="45" fillId="63" borderId="0" applyNumberFormat="0" applyBorder="0" applyAlignment="0" applyProtection="0"/>
    <xf numFmtId="0" fontId="45" fillId="64" borderId="0" applyNumberFormat="0" applyBorder="0" applyAlignment="0" applyProtection="0"/>
    <xf numFmtId="165" fontId="33" fillId="0" borderId="0" applyFont="0" applyFill="0" applyBorder="0" applyAlignment="0" applyProtection="0"/>
    <xf numFmtId="0" fontId="46" fillId="0" borderId="0" applyNumberForma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7" fillId="0" borderId="0"/>
    <xf numFmtId="0" fontId="48" fillId="0" borderId="0"/>
    <xf numFmtId="0" fontId="49" fillId="65" borderId="0" applyNumberFormat="0" applyBorder="0" applyAlignment="0" applyProtection="0"/>
    <xf numFmtId="0" fontId="8" fillId="0" borderId="0" applyFill="0" applyBorder="0">
      <alignment vertical="center"/>
    </xf>
    <xf numFmtId="0" fontId="50" fillId="0" borderId="148" applyNumberFormat="0" applyFill="0" applyAlignment="0" applyProtection="0"/>
    <xf numFmtId="0" fontId="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49" applyNumberFormat="0" applyFill="0" applyAlignment="0" applyProtection="0"/>
    <xf numFmtId="0" fontId="51" fillId="0" borderId="0" applyFill="0" applyBorder="0">
      <alignment vertical="center"/>
    </xf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4" fillId="0" borderId="0" applyFill="0" applyBorder="0">
      <alignment vertical="center"/>
    </xf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4" fillId="0" borderId="0" applyFill="0" applyBorder="0">
      <alignment vertical="center"/>
    </xf>
    <xf numFmtId="0" fontId="32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32" fillId="0" borderId="0" applyFill="0" applyBorder="0">
      <alignment vertical="center"/>
    </xf>
    <xf numFmtId="172" fontId="55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60" fillId="0" borderId="0" applyFill="0" applyBorder="0">
      <alignment horizontal="center" vertical="center"/>
      <protection locked="0"/>
    </xf>
    <xf numFmtId="0" fontId="61" fillId="0" borderId="0" applyFill="0" applyBorder="0">
      <alignment horizontal="left" vertical="center"/>
      <protection locked="0"/>
    </xf>
    <xf numFmtId="173" fontId="3" fillId="66" borderId="0" applyFont="0" applyBorder="0">
      <alignment horizontal="right"/>
    </xf>
    <xf numFmtId="172" fontId="3" fillId="66" borderId="0" applyFont="0" applyBorder="0" applyAlignment="0"/>
    <xf numFmtId="173" fontId="3" fillId="66" borderId="0" applyFont="0" applyBorder="0">
      <alignment horizontal="right"/>
    </xf>
    <xf numFmtId="0" fontId="62" fillId="39" borderId="146" applyNumberFormat="0" applyAlignment="0" applyProtection="0"/>
    <xf numFmtId="0" fontId="62" fillId="39" borderId="146" applyNumberFormat="0" applyAlignment="0" applyProtection="0"/>
    <xf numFmtId="0" fontId="62" fillId="39" borderId="146" applyNumberFormat="0" applyAlignment="0" applyProtection="0"/>
    <xf numFmtId="0" fontId="62" fillId="39" borderId="146" applyNumberFormat="0" applyAlignment="0" applyProtection="0"/>
    <xf numFmtId="0" fontId="62" fillId="39" borderId="146" applyNumberFormat="0" applyAlignment="0" applyProtection="0"/>
    <xf numFmtId="0" fontId="62" fillId="39" borderId="146" applyNumberFormat="0" applyAlignment="0" applyProtection="0"/>
    <xf numFmtId="0" fontId="62" fillId="39" borderId="146" applyNumberFormat="0" applyAlignment="0" applyProtection="0"/>
    <xf numFmtId="167" fontId="3" fillId="67" borderId="0" applyFont="0" applyBorder="0" applyAlignment="0">
      <alignment horizontal="right"/>
      <protection locked="0"/>
    </xf>
    <xf numFmtId="41" fontId="3" fillId="67" borderId="0" applyFont="0" applyBorder="0" applyAlignment="0">
      <alignment horizontal="right"/>
      <protection locked="0"/>
    </xf>
    <xf numFmtId="167" fontId="3" fillId="67" borderId="0" applyFont="0" applyBorder="0" applyAlignment="0">
      <alignment horizontal="right"/>
      <protection locked="0"/>
    </xf>
    <xf numFmtId="167" fontId="3" fillId="67" borderId="0" applyFont="0" applyBorder="0" applyAlignment="0">
      <alignment horizontal="right"/>
      <protection locked="0"/>
    </xf>
    <xf numFmtId="167" fontId="3" fillId="67" borderId="0" applyFont="0" applyBorder="0" applyAlignment="0">
      <alignment horizontal="right"/>
      <protection locked="0"/>
    </xf>
    <xf numFmtId="167" fontId="3" fillId="67" borderId="0" applyFont="0" applyBorder="0" applyAlignment="0">
      <alignment horizontal="right"/>
      <protection locked="0"/>
    </xf>
    <xf numFmtId="167" fontId="3" fillId="68" borderId="0" applyFont="0" applyBorder="0" applyAlignment="0">
      <alignment horizontal="right"/>
      <protection locked="0"/>
    </xf>
    <xf numFmtId="10" fontId="3" fillId="68" borderId="0" applyFont="0" applyBorder="0">
      <alignment horizontal="right"/>
      <protection locked="0"/>
    </xf>
    <xf numFmtId="41" fontId="3" fillId="68" borderId="0" applyFont="0" applyBorder="0" applyAlignment="0">
      <alignment horizontal="right"/>
      <protection locked="0"/>
    </xf>
    <xf numFmtId="3" fontId="3" fillId="69" borderId="0" applyFont="0" applyBorder="0">
      <protection locked="0"/>
    </xf>
    <xf numFmtId="172" fontId="51" fillId="69" borderId="0" applyBorder="0" applyAlignment="0">
      <protection locked="0"/>
    </xf>
    <xf numFmtId="174" fontId="3" fillId="70" borderId="0" applyFont="0" applyBorder="0">
      <alignment horizontal="right"/>
      <protection locked="0"/>
    </xf>
    <xf numFmtId="174" fontId="3" fillId="70" borderId="0" applyFont="0" applyBorder="0">
      <alignment horizontal="right"/>
      <protection locked="0"/>
    </xf>
    <xf numFmtId="174" fontId="3" fillId="70" borderId="0" applyFont="0" applyBorder="0">
      <alignment horizontal="right"/>
      <protection locked="0"/>
    </xf>
    <xf numFmtId="167" fontId="3" fillId="66" borderId="0" applyFont="0" applyBorder="0">
      <alignment horizontal="right"/>
      <protection locked="0"/>
    </xf>
    <xf numFmtId="167" fontId="3" fillId="66" borderId="0" applyFont="0" applyBorder="0">
      <alignment horizontal="right"/>
      <protection locked="0"/>
    </xf>
    <xf numFmtId="167" fontId="3" fillId="66" borderId="0" applyFont="0" applyBorder="0">
      <alignment horizontal="right"/>
      <protection locked="0"/>
    </xf>
    <xf numFmtId="175" fontId="1" fillId="61" borderId="19">
      <protection locked="0"/>
    </xf>
    <xf numFmtId="175" fontId="1" fillId="61" borderId="19">
      <protection locked="0"/>
    </xf>
    <xf numFmtId="175" fontId="1" fillId="61" borderId="19">
      <protection locked="0"/>
    </xf>
    <xf numFmtId="49" fontId="1" fillId="61" borderId="19" applyFont="0" applyAlignment="0">
      <alignment horizontal="left" vertical="center" wrapText="1"/>
      <protection locked="0"/>
    </xf>
    <xf numFmtId="49" fontId="1" fillId="61" borderId="19" applyFont="0" applyAlignment="0">
      <alignment horizontal="left" vertical="center" wrapText="1"/>
      <protection locked="0"/>
    </xf>
    <xf numFmtId="49" fontId="1" fillId="61" borderId="19" applyFont="0" applyAlignment="0">
      <alignment horizontal="left" vertical="center" wrapText="1"/>
      <protection locked="0"/>
    </xf>
    <xf numFmtId="172" fontId="63" fillId="71" borderId="0" applyBorder="0" applyAlignment="0"/>
    <xf numFmtId="0" fontId="32" fillId="58" borderId="0"/>
    <xf numFmtId="0" fontId="64" fillId="0" borderId="151" applyNumberFormat="0" applyFill="0" applyAlignment="0" applyProtection="0"/>
    <xf numFmtId="173" fontId="19" fillId="58" borderId="152" applyFont="0" applyBorder="0" applyAlignment="0"/>
    <xf numFmtId="172" fontId="51" fillId="58" borderId="0" applyFont="0" applyBorder="0" applyAlignment="0"/>
    <xf numFmtId="176" fontId="65" fillId="0" borderId="0"/>
    <xf numFmtId="0" fontId="66" fillId="0" borderId="0" applyFill="0" applyBorder="0">
      <alignment horizontal="left" vertical="center"/>
    </xf>
    <xf numFmtId="0" fontId="67" fillId="42" borderId="0" applyNumberFormat="0" applyBorder="0" applyAlignment="0" applyProtection="0"/>
    <xf numFmtId="175" fontId="1" fillId="5" borderId="19"/>
    <xf numFmtId="175" fontId="1" fillId="5" borderId="19"/>
    <xf numFmtId="175" fontId="1" fillId="5" borderId="19"/>
    <xf numFmtId="177" fontId="68" fillId="0" borderId="0"/>
    <xf numFmtId="0" fontId="3" fillId="0" borderId="0"/>
    <xf numFmtId="0" fontId="3" fillId="0" borderId="0"/>
    <xf numFmtId="0" fontId="3" fillId="0" borderId="0"/>
    <xf numFmtId="0" fontId="3" fillId="18" borderId="0"/>
    <xf numFmtId="0" fontId="1" fillId="0" borderId="0"/>
    <xf numFmtId="0" fontId="3" fillId="0" borderId="0" applyFill="0"/>
    <xf numFmtId="0" fontId="3" fillId="0" borderId="0" applyFill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8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18" borderId="0"/>
    <xf numFmtId="0" fontId="3" fillId="18" borderId="0"/>
    <xf numFmtId="0" fontId="3" fillId="0" borderId="0"/>
    <xf numFmtId="0" fontId="1" fillId="0" borderId="0">
      <protection locked="0"/>
    </xf>
    <xf numFmtId="0" fontId="3" fillId="0" borderId="0"/>
    <xf numFmtId="0" fontId="43" fillId="0" borderId="0"/>
    <xf numFmtId="0" fontId="3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 applyFill="0"/>
    <xf numFmtId="0" fontId="3" fillId="0" borderId="0"/>
    <xf numFmtId="0" fontId="3" fillId="0" borderId="0" applyFill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protection locked="0"/>
    </xf>
    <xf numFmtId="0" fontId="3" fillId="0" borderId="0"/>
    <xf numFmtId="0" fontId="3" fillId="18" borderId="0"/>
    <xf numFmtId="0" fontId="3" fillId="0" borderId="0"/>
    <xf numFmtId="0" fontId="3" fillId="18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ill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33" fillId="0" borderId="0"/>
    <xf numFmtId="0" fontId="36" fillId="0" borderId="0"/>
    <xf numFmtId="0" fontId="3" fillId="18" borderId="0"/>
    <xf numFmtId="0" fontId="3" fillId="18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69" fillId="41" borderId="154" applyNumberFormat="0" applyAlignment="0" applyProtection="0"/>
    <xf numFmtId="0" fontId="69" fillId="41" borderId="154" applyNumberFormat="0" applyAlignment="0" applyProtection="0"/>
    <xf numFmtId="0" fontId="69" fillId="41" borderId="154" applyNumberFormat="0" applyAlignment="0" applyProtection="0"/>
    <xf numFmtId="0" fontId="69" fillId="41" borderId="154" applyNumberFormat="0" applyAlignment="0" applyProtection="0"/>
    <xf numFmtId="0" fontId="69" fillId="41" borderId="154" applyNumberFormat="0" applyAlignment="0" applyProtection="0"/>
    <xf numFmtId="0" fontId="69" fillId="41" borderId="154" applyNumberFormat="0" applyAlignment="0" applyProtection="0"/>
    <xf numFmtId="0" fontId="69" fillId="41" borderId="154" applyNumberFormat="0" applyAlignment="0" applyProtection="0"/>
    <xf numFmtId="178" fontId="3" fillId="0" borderId="0" applyFill="0" applyBorder="0"/>
    <xf numFmtId="178" fontId="3" fillId="0" borderId="0" applyFill="0" applyBorder="0"/>
    <xf numFmtId="178" fontId="3" fillId="0" borderId="0" applyFill="0" applyBorder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70" fillId="0" borderId="0"/>
    <xf numFmtId="0" fontId="54" fillId="0" borderId="0" applyFill="0" applyBorder="0">
      <alignment vertical="center"/>
    </xf>
    <xf numFmtId="0" fontId="42" fillId="0" borderId="0" applyNumberFormat="0" applyFont="0" applyFill="0" applyBorder="0" applyAlignment="0" applyProtection="0">
      <alignment horizontal="left"/>
    </xf>
    <xf numFmtId="15" fontId="42" fillId="0" borderId="0" applyFont="0" applyFill="0" applyBorder="0" applyAlignment="0" applyProtection="0"/>
    <xf numFmtId="4" fontId="42" fillId="0" borderId="0" applyFont="0" applyFill="0" applyBorder="0" applyAlignment="0" applyProtection="0"/>
    <xf numFmtId="179" fontId="71" fillId="0" borderId="9"/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3" fontId="42" fillId="0" borderId="0" applyFont="0" applyFill="0" applyBorder="0" applyAlignment="0" applyProtection="0"/>
    <xf numFmtId="0" fontId="42" fillId="72" borderId="0" applyNumberFormat="0" applyFont="0" applyBorder="0" applyAlignment="0" applyProtection="0"/>
    <xf numFmtId="180" fontId="3" fillId="0" borderId="0"/>
    <xf numFmtId="180" fontId="3" fillId="0" borderId="0"/>
    <xf numFmtId="180" fontId="3" fillId="0" borderId="0"/>
    <xf numFmtId="181" fontId="32" fillId="0" borderId="0" applyFill="0" applyBorder="0">
      <alignment horizontal="right" vertical="center"/>
    </xf>
    <xf numFmtId="182" fontId="32" fillId="0" borderId="0" applyFill="0" applyBorder="0">
      <alignment horizontal="right" vertical="center"/>
    </xf>
    <xf numFmtId="183" fontId="32" fillId="0" borderId="0" applyFill="0" applyBorder="0">
      <alignment horizontal="right" vertical="center"/>
    </xf>
    <xf numFmtId="175" fontId="5" fillId="61" borderId="24">
      <alignment horizontal="right" indent="2"/>
      <protection locked="0"/>
    </xf>
    <xf numFmtId="0" fontId="3" fillId="40" borderId="0" applyNumberFormat="0" applyFont="0" applyBorder="0" applyAlignment="0" applyProtection="0"/>
    <xf numFmtId="0" fontId="3" fillId="40" borderId="0" applyNumberFormat="0" applyFont="0" applyBorder="0" applyAlignment="0" applyProtection="0"/>
    <xf numFmtId="0" fontId="3" fillId="41" borderId="0" applyNumberFormat="0" applyFont="0" applyBorder="0" applyAlignment="0" applyProtection="0"/>
    <xf numFmtId="0" fontId="3" fillId="41" borderId="0" applyNumberFormat="0" applyFont="0" applyBorder="0" applyAlignment="0" applyProtection="0"/>
    <xf numFmtId="0" fontId="3" fillId="43" borderId="0" applyNumberFormat="0" applyFont="0" applyBorder="0" applyAlignment="0" applyProtection="0"/>
    <xf numFmtId="0" fontId="3" fillId="43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43" borderId="0" applyNumberFormat="0" applyFont="0" applyBorder="0" applyAlignment="0" applyProtection="0"/>
    <xf numFmtId="0" fontId="3" fillId="43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Border="0" applyAlignment="0" applyProtection="0"/>
    <xf numFmtId="0" fontId="3" fillId="0" borderId="0" applyNumberFormat="0" applyFont="0" applyBorder="0" applyAlignment="0" applyProtection="0"/>
    <xf numFmtId="0" fontId="73" fillId="0" borderId="0" applyNumberFormat="0" applyFill="0" applyBorder="0" applyAlignment="0" applyProtection="0"/>
    <xf numFmtId="0" fontId="74" fillId="73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75" fillId="0" borderId="0"/>
    <xf numFmtId="15" fontId="3" fillId="0" borderId="0"/>
    <xf numFmtId="15" fontId="3" fillId="0" borderId="0"/>
    <xf numFmtId="15" fontId="3" fillId="0" borderId="0"/>
    <xf numFmtId="10" fontId="3" fillId="0" borderId="0"/>
    <xf numFmtId="10" fontId="3" fillId="0" borderId="0"/>
    <xf numFmtId="10" fontId="3" fillId="0" borderId="0"/>
    <xf numFmtId="0" fontId="76" fillId="74" borderId="155" applyBorder="0" applyProtection="0">
      <alignment horizontal="centerContinuous" vertical="center"/>
    </xf>
    <xf numFmtId="0" fontId="77" fillId="0" borderId="0" applyBorder="0" applyProtection="0">
      <alignment vertical="center"/>
    </xf>
    <xf numFmtId="0" fontId="78" fillId="0" borderId="0">
      <alignment horizontal="left"/>
    </xf>
    <xf numFmtId="0" fontId="78" fillId="0" borderId="10" applyFill="0" applyBorder="0" applyProtection="0">
      <alignment horizontal="left" vertical="top"/>
    </xf>
    <xf numFmtId="0" fontId="74" fillId="75" borderId="0">
      <alignment horizontal="left" vertical="center"/>
      <protection locked="0"/>
    </xf>
    <xf numFmtId="0" fontId="79" fillId="23" borderId="0">
      <alignment vertical="center"/>
      <protection locked="0"/>
    </xf>
    <xf numFmtId="49" fontId="3" fillId="0" borderId="0" applyFont="0" applyFill="0" applyBorder="0" applyAlignment="0" applyProtection="0"/>
    <xf numFmtId="0" fontId="80" fillId="0" borderId="0"/>
    <xf numFmtId="49" fontId="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76" fontId="82" fillId="0" borderId="0"/>
    <xf numFmtId="0" fontId="73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5" fillId="0" borderId="156" applyNumberFormat="0" applyFill="0" applyAlignment="0" applyProtection="0"/>
    <xf numFmtId="0" fontId="45" fillId="0" borderId="156" applyNumberFormat="0" applyFill="0" applyAlignment="0" applyProtection="0"/>
    <xf numFmtId="0" fontId="45" fillId="0" borderId="156" applyNumberFormat="0" applyFill="0" applyAlignment="0" applyProtection="0"/>
    <xf numFmtId="0" fontId="45" fillId="0" borderId="156" applyNumberFormat="0" applyFill="0" applyAlignment="0" applyProtection="0"/>
    <xf numFmtId="0" fontId="45" fillId="0" borderId="156" applyNumberFormat="0" applyFill="0" applyAlignment="0" applyProtection="0"/>
    <xf numFmtId="0" fontId="45" fillId="0" borderId="156" applyNumberFormat="0" applyFill="0" applyAlignment="0" applyProtection="0"/>
    <xf numFmtId="0" fontId="45" fillId="0" borderId="156" applyNumberFormat="0" applyFill="0" applyAlignment="0" applyProtection="0"/>
    <xf numFmtId="0" fontId="85" fillId="0" borderId="0" applyNumberFormat="0" applyFill="0" applyBorder="0" applyAlignment="0" applyProtection="0"/>
    <xf numFmtId="184" fontId="3" fillId="0" borderId="155" applyBorder="0" applyProtection="0">
      <alignment horizontal="right"/>
    </xf>
    <xf numFmtId="184" fontId="3" fillId="0" borderId="155" applyBorder="0" applyProtection="0">
      <alignment horizontal="right"/>
    </xf>
    <xf numFmtId="184" fontId="3" fillId="0" borderId="155" applyBorder="0" applyProtection="0">
      <alignment horizontal="right"/>
    </xf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" fillId="0" borderId="0"/>
    <xf numFmtId="0" fontId="3" fillId="18" borderId="0"/>
    <xf numFmtId="0" fontId="3" fillId="18" borderId="0"/>
    <xf numFmtId="0" fontId="3" fillId="18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30" borderId="0"/>
    <xf numFmtId="0" fontId="1" fillId="0" borderId="0"/>
  </cellStyleXfs>
  <cellXfs count="813">
    <xf numFmtId="0" fontId="0" fillId="0" borderId="0" xfId="0"/>
    <xf numFmtId="0" fontId="3" fillId="0" borderId="0" xfId="1"/>
    <xf numFmtId="0" fontId="3" fillId="0" borderId="0" xfId="1" applyAlignment="1">
      <alignment vertical="center"/>
    </xf>
    <xf numFmtId="0" fontId="5" fillId="6" borderId="0" xfId="1" applyFont="1" applyFill="1" applyProtection="1"/>
    <xf numFmtId="0" fontId="3" fillId="0" borderId="0" xfId="2"/>
    <xf numFmtId="0" fontId="5" fillId="6" borderId="0" xfId="1" applyFont="1" applyFill="1" applyAlignment="1" applyProtection="1">
      <alignment horizontal="center"/>
    </xf>
    <xf numFmtId="1" fontId="5" fillId="6" borderId="0" xfId="1" applyNumberFormat="1" applyFont="1" applyFill="1" applyProtection="1"/>
    <xf numFmtId="49" fontId="5" fillId="6" borderId="0" xfId="1" applyNumberFormat="1" applyFont="1" applyFill="1" applyProtection="1"/>
    <xf numFmtId="0" fontId="3" fillId="0" borderId="19" xfId="1" applyBorder="1"/>
    <xf numFmtId="0" fontId="3" fillId="0" borderId="20" xfId="1" applyBorder="1"/>
    <xf numFmtId="0" fontId="3" fillId="0" borderId="2" xfId="1" applyBorder="1"/>
    <xf numFmtId="0" fontId="5" fillId="6" borderId="3" xfId="1" applyFont="1" applyFill="1" applyBorder="1" applyProtection="1"/>
    <xf numFmtId="0" fontId="8" fillId="13" borderId="0" xfId="1" applyFont="1" applyFill="1" applyAlignment="1">
      <alignment vertical="center" wrapText="1"/>
    </xf>
    <xf numFmtId="0" fontId="8" fillId="6" borderId="39" xfId="5" applyFont="1" applyFill="1" applyBorder="1" applyAlignment="1" applyProtection="1">
      <alignment horizontal="center" vertical="center" wrapText="1"/>
    </xf>
    <xf numFmtId="0" fontId="8" fillId="19" borderId="33" xfId="5" applyFont="1" applyFill="1" applyBorder="1" applyAlignment="1" applyProtection="1">
      <alignment horizontal="center" vertical="center" wrapText="1"/>
    </xf>
    <xf numFmtId="0" fontId="4" fillId="19" borderId="11" xfId="1" applyFont="1" applyFill="1" applyBorder="1" applyAlignment="1" applyProtection="1">
      <alignment horizontal="center" vertical="center" wrapText="1"/>
    </xf>
    <xf numFmtId="0" fontId="5" fillId="6" borderId="0" xfId="1" applyFont="1" applyFill="1" applyAlignment="1" applyProtection="1">
      <alignment vertical="center"/>
    </xf>
    <xf numFmtId="1" fontId="5" fillId="6" borderId="0" xfId="1" applyNumberFormat="1" applyFont="1" applyFill="1" applyAlignment="1" applyProtection="1">
      <alignment vertical="center"/>
    </xf>
    <xf numFmtId="0" fontId="8" fillId="0" borderId="40" xfId="1" applyFont="1" applyFill="1" applyBorder="1" applyAlignment="1">
      <alignment vertical="center" wrapText="1"/>
    </xf>
    <xf numFmtId="0" fontId="8" fillId="0" borderId="41" xfId="1" applyFont="1" applyFill="1" applyBorder="1" applyAlignment="1">
      <alignment vertical="center" wrapText="1"/>
    </xf>
    <xf numFmtId="0" fontId="8" fillId="0" borderId="42" xfId="1" applyFont="1" applyFill="1" applyBorder="1" applyAlignment="1">
      <alignment vertical="center" wrapText="1"/>
    </xf>
    <xf numFmtId="0" fontId="8" fillId="17" borderId="43" xfId="1" applyFont="1" applyFill="1" applyBorder="1" applyAlignment="1">
      <alignment vertical="center" wrapText="1"/>
    </xf>
    <xf numFmtId="0" fontId="8" fillId="17" borderId="44" xfId="1" applyFont="1" applyFill="1" applyBorder="1" applyAlignment="1">
      <alignment vertical="center" wrapText="1"/>
    </xf>
    <xf numFmtId="0" fontId="8" fillId="17" borderId="45" xfId="1" applyFont="1" applyFill="1" applyBorder="1" applyAlignment="1">
      <alignment vertical="center" wrapText="1"/>
    </xf>
    <xf numFmtId="0" fontId="3" fillId="0" borderId="47" xfId="4" applyBorder="1" applyAlignment="1" applyProtection="1">
      <alignment horizontal="left" vertical="center"/>
    </xf>
    <xf numFmtId="0" fontId="3" fillId="0" borderId="0" xfId="1" applyAlignment="1">
      <alignment horizontal="center"/>
    </xf>
    <xf numFmtId="0" fontId="3" fillId="20" borderId="47" xfId="1" applyFont="1" applyFill="1" applyBorder="1" applyAlignment="1"/>
    <xf numFmtId="0" fontId="3" fillId="21" borderId="49" xfId="1" applyFont="1" applyFill="1" applyBorder="1" applyAlignment="1" applyProtection="1">
      <alignment horizontal="center" wrapText="1"/>
    </xf>
    <xf numFmtId="0" fontId="19" fillId="21" borderId="49" xfId="1" applyFont="1" applyFill="1" applyBorder="1" applyAlignment="1" applyProtection="1">
      <alignment horizontal="center" vertical="center"/>
    </xf>
    <xf numFmtId="0" fontId="3" fillId="22" borderId="51" xfId="8" applyFill="1" applyBorder="1" applyAlignment="1">
      <alignment horizontal="center"/>
    </xf>
    <xf numFmtId="0" fontId="3" fillId="22" borderId="0" xfId="8" applyFill="1" applyBorder="1" applyAlignment="1">
      <alignment horizontal="center"/>
    </xf>
    <xf numFmtId="0" fontId="3" fillId="22" borderId="52" xfId="8" applyFill="1" applyBorder="1" applyAlignment="1">
      <alignment horizontal="center" vertical="center" wrapText="1"/>
    </xf>
    <xf numFmtId="0" fontId="3" fillId="22" borderId="53" xfId="8" applyFill="1" applyBorder="1" applyAlignment="1">
      <alignment horizontal="center" vertical="center" wrapText="1"/>
    </xf>
    <xf numFmtId="0" fontId="3" fillId="0" borderId="54" xfId="4" applyBorder="1" applyAlignment="1" applyProtection="1">
      <alignment horizontal="left" vertical="center"/>
    </xf>
    <xf numFmtId="0" fontId="3" fillId="20" borderId="54" xfId="1" applyFont="1" applyFill="1" applyBorder="1" applyAlignment="1"/>
    <xf numFmtId="0" fontId="3" fillId="21" borderId="56" xfId="1" applyFont="1" applyFill="1" applyBorder="1" applyAlignment="1" applyProtection="1">
      <alignment horizontal="center" wrapText="1"/>
    </xf>
    <xf numFmtId="0" fontId="3" fillId="22" borderId="19" xfId="8" applyFill="1" applyBorder="1" applyAlignment="1">
      <alignment horizontal="center" vertical="center" wrapText="1"/>
    </xf>
    <xf numFmtId="0" fontId="3" fillId="0" borderId="58" xfId="1" applyBorder="1"/>
    <xf numFmtId="0" fontId="3" fillId="0" borderId="60" xfId="4" applyBorder="1" applyProtection="1"/>
    <xf numFmtId="0" fontId="3" fillId="0" borderId="47" xfId="4" applyBorder="1" applyProtection="1"/>
    <xf numFmtId="0" fontId="3" fillId="0" borderId="56" xfId="1" applyFont="1" applyFill="1" applyBorder="1"/>
    <xf numFmtId="0" fontId="3" fillId="0" borderId="57" xfId="1" applyFont="1" applyFill="1" applyBorder="1"/>
    <xf numFmtId="0" fontId="3" fillId="0" borderId="61" xfId="1" applyBorder="1" applyAlignment="1">
      <alignment vertical="center"/>
    </xf>
    <xf numFmtId="0" fontId="3" fillId="0" borderId="56" xfId="1" applyFont="1" applyFill="1" applyBorder="1" applyAlignment="1">
      <alignment vertical="center"/>
    </xf>
    <xf numFmtId="0" fontId="3" fillId="0" borderId="62" xfId="4" applyBorder="1" applyProtection="1"/>
    <xf numFmtId="0" fontId="3" fillId="20" borderId="62" xfId="1" applyFont="1" applyFill="1" applyBorder="1" applyAlignment="1"/>
    <xf numFmtId="0" fontId="3" fillId="0" borderId="55" xfId="1" applyFont="1" applyFill="1" applyBorder="1" applyAlignment="1">
      <alignment vertical="center"/>
    </xf>
    <xf numFmtId="0" fontId="3" fillId="18" borderId="61" xfId="8" applyBorder="1"/>
    <xf numFmtId="0" fontId="3" fillId="6" borderId="63" xfId="4" applyFill="1" applyBorder="1" applyAlignment="1" applyProtection="1">
      <alignment vertical="center"/>
    </xf>
    <xf numFmtId="0" fontId="3" fillId="0" borderId="64" xfId="4" applyBorder="1" applyAlignment="1" applyProtection="1">
      <alignment horizontal="left" vertical="center"/>
    </xf>
    <xf numFmtId="0" fontId="3" fillId="23" borderId="65" xfId="4" applyFill="1" applyBorder="1" applyAlignment="1" applyProtection="1">
      <alignment horizontal="center" vertical="center"/>
    </xf>
    <xf numFmtId="0" fontId="4" fillId="22" borderId="11" xfId="1" applyFont="1" applyFill="1" applyBorder="1" applyProtection="1"/>
    <xf numFmtId="0" fontId="3" fillId="23" borderId="66" xfId="4" applyFill="1" applyBorder="1" applyAlignment="1" applyProtection="1">
      <alignment horizontal="center" vertical="center"/>
    </xf>
    <xf numFmtId="0" fontId="5" fillId="22" borderId="67" xfId="1" applyFont="1" applyFill="1" applyBorder="1" applyProtection="1"/>
    <xf numFmtId="0" fontId="3" fillId="6" borderId="47" xfId="4" applyFill="1" applyBorder="1" applyAlignment="1" applyProtection="1">
      <alignment horizontal="left" vertical="center"/>
    </xf>
    <xf numFmtId="0" fontId="5" fillId="22" borderId="68" xfId="1" applyFont="1" applyFill="1" applyBorder="1" applyProtection="1"/>
    <xf numFmtId="0" fontId="3" fillId="6" borderId="60" xfId="4" applyFill="1" applyBorder="1" applyAlignment="1" applyProtection="1">
      <alignment horizontal="left" vertical="center"/>
    </xf>
    <xf numFmtId="0" fontId="3" fillId="0" borderId="69" xfId="1" applyFont="1" applyFill="1" applyBorder="1" applyAlignment="1">
      <alignment vertical="center"/>
    </xf>
    <xf numFmtId="0" fontId="3" fillId="21" borderId="70" xfId="1" applyFont="1" applyFill="1" applyBorder="1" applyAlignment="1" applyProtection="1">
      <alignment horizontal="center" wrapText="1"/>
    </xf>
    <xf numFmtId="0" fontId="3" fillId="0" borderId="70" xfId="1" applyFont="1" applyFill="1" applyBorder="1" applyAlignment="1">
      <alignment vertical="center"/>
    </xf>
    <xf numFmtId="0" fontId="3" fillId="0" borderId="70" xfId="1" applyFont="1" applyFill="1" applyBorder="1"/>
    <xf numFmtId="0" fontId="3" fillId="0" borderId="71" xfId="1" applyFont="1" applyFill="1" applyBorder="1"/>
    <xf numFmtId="0" fontId="3" fillId="18" borderId="72" xfId="8" applyBorder="1"/>
    <xf numFmtId="0" fontId="3" fillId="0" borderId="30" xfId="1" applyBorder="1"/>
    <xf numFmtId="0" fontId="3" fillId="22" borderId="30" xfId="8" applyFill="1" applyBorder="1" applyAlignment="1">
      <alignment horizontal="center" vertical="center" wrapText="1"/>
    </xf>
    <xf numFmtId="0" fontId="3" fillId="0" borderId="73" xfId="1" applyBorder="1"/>
    <xf numFmtId="0" fontId="3" fillId="6" borderId="54" xfId="4" applyFill="1" applyBorder="1" applyAlignment="1" applyProtection="1">
      <alignment horizontal="left" vertical="center"/>
    </xf>
    <xf numFmtId="0" fontId="5" fillId="22" borderId="74" xfId="1" applyFont="1" applyFill="1" applyBorder="1" applyProtection="1"/>
    <xf numFmtId="0" fontId="3" fillId="0" borderId="51" xfId="1" applyBorder="1" applyAlignment="1">
      <alignment vertical="center"/>
    </xf>
    <xf numFmtId="0" fontId="3" fillId="0" borderId="0" xfId="1" applyBorder="1"/>
    <xf numFmtId="0" fontId="3" fillId="0" borderId="75" xfId="1" applyBorder="1"/>
    <xf numFmtId="0" fontId="5" fillId="22" borderId="11" xfId="1" applyFont="1" applyFill="1" applyBorder="1" applyAlignment="1" applyProtection="1">
      <alignment horizontal="left" vertical="top" wrapText="1"/>
    </xf>
    <xf numFmtId="0" fontId="3" fillId="6" borderId="62" xfId="4" applyFill="1" applyBorder="1" applyAlignment="1" applyProtection="1">
      <alignment horizontal="left" vertical="center"/>
    </xf>
    <xf numFmtId="0" fontId="4" fillId="22" borderId="4" xfId="1" applyFont="1" applyFill="1" applyBorder="1" applyProtection="1"/>
    <xf numFmtId="0" fontId="3" fillId="6" borderId="6" xfId="4" applyFill="1" applyBorder="1" applyAlignment="1" applyProtection="1">
      <alignment horizontal="left" vertical="center"/>
    </xf>
    <xf numFmtId="0" fontId="5" fillId="22" borderId="17" xfId="1" applyFont="1" applyFill="1" applyBorder="1" applyProtection="1"/>
    <xf numFmtId="0" fontId="5" fillId="22" borderId="82" xfId="1" applyFont="1" applyFill="1" applyBorder="1" applyProtection="1"/>
    <xf numFmtId="0" fontId="3" fillId="20" borderId="74" xfId="1" applyFont="1" applyFill="1" applyBorder="1" applyAlignment="1"/>
    <xf numFmtId="0" fontId="3" fillId="22" borderId="83" xfId="8" applyFill="1" applyBorder="1" applyAlignment="1">
      <alignment horizontal="center"/>
    </xf>
    <xf numFmtId="0" fontId="3" fillId="0" borderId="13" xfId="1" applyBorder="1"/>
    <xf numFmtId="0" fontId="3" fillId="22" borderId="13" xfId="8" applyFill="1" applyBorder="1" applyAlignment="1">
      <alignment horizontal="center" vertical="center" wrapText="1"/>
    </xf>
    <xf numFmtId="0" fontId="3" fillId="22" borderId="15" xfId="8" applyFill="1" applyBorder="1" applyAlignment="1">
      <alignment horizontal="center" vertical="center" wrapText="1"/>
    </xf>
    <xf numFmtId="0" fontId="3" fillId="6" borderId="46" xfId="4" applyFill="1" applyBorder="1" applyAlignment="1" applyProtection="1">
      <alignment vertical="top"/>
    </xf>
    <xf numFmtId="0" fontId="5" fillId="22" borderId="24" xfId="1" applyFont="1" applyFill="1" applyBorder="1" applyProtection="1"/>
    <xf numFmtId="0" fontId="5" fillId="22" borderId="84" xfId="1" applyFont="1" applyFill="1" applyBorder="1" applyProtection="1"/>
    <xf numFmtId="0" fontId="3" fillId="22" borderId="61" xfId="8" applyFill="1" applyBorder="1" applyAlignment="1">
      <alignment horizontal="center"/>
    </xf>
    <xf numFmtId="0" fontId="3" fillId="22" borderId="20" xfId="8" applyFill="1" applyBorder="1" applyAlignment="1">
      <alignment horizontal="center" vertical="center" wrapText="1"/>
    </xf>
    <xf numFmtId="0" fontId="3" fillId="6" borderId="7" xfId="4" applyFill="1" applyBorder="1" applyAlignment="1" applyProtection="1">
      <alignment vertical="top"/>
    </xf>
    <xf numFmtId="0" fontId="5" fillId="22" borderId="85" xfId="1" applyFont="1" applyFill="1" applyBorder="1" applyProtection="1"/>
    <xf numFmtId="0" fontId="3" fillId="6" borderId="86" xfId="4" applyFill="1" applyBorder="1" applyAlignment="1" applyProtection="1">
      <alignment vertical="center"/>
    </xf>
    <xf numFmtId="0" fontId="3" fillId="6" borderId="67" xfId="4" applyFill="1" applyBorder="1" applyAlignment="1" applyProtection="1">
      <alignment vertical="center"/>
    </xf>
    <xf numFmtId="0" fontId="3" fillId="6" borderId="68" xfId="4" applyFill="1" applyBorder="1" applyAlignment="1" applyProtection="1">
      <alignment vertical="center"/>
    </xf>
    <xf numFmtId="0" fontId="3" fillId="6" borderId="74" xfId="4" applyFill="1" applyBorder="1" applyAlignment="1" applyProtection="1">
      <alignment vertical="center"/>
    </xf>
    <xf numFmtId="0" fontId="5" fillId="22" borderId="6" xfId="1" applyFont="1" applyFill="1" applyBorder="1" applyProtection="1"/>
    <xf numFmtId="0" fontId="5" fillId="22" borderId="32" xfId="1" applyFont="1" applyFill="1" applyBorder="1" applyProtection="1"/>
    <xf numFmtId="0" fontId="3" fillId="22" borderId="87" xfId="8" applyFill="1" applyBorder="1" applyAlignment="1">
      <alignment horizontal="center"/>
    </xf>
    <xf numFmtId="0" fontId="3" fillId="0" borderId="88" xfId="1" applyBorder="1"/>
    <xf numFmtId="0" fontId="3" fillId="0" borderId="89" xfId="1" applyBorder="1"/>
    <xf numFmtId="0" fontId="3" fillId="0" borderId="90" xfId="1" applyBorder="1"/>
    <xf numFmtId="0" fontId="3" fillId="0" borderId="91" xfId="2" applyBorder="1"/>
    <xf numFmtId="0" fontId="3" fillId="0" borderId="92" xfId="1" applyBorder="1"/>
    <xf numFmtId="0" fontId="5" fillId="6" borderId="92" xfId="1" applyFont="1" applyFill="1" applyBorder="1" applyProtection="1"/>
    <xf numFmtId="0" fontId="5" fillId="6" borderId="92" xfId="1" applyFont="1" applyFill="1" applyBorder="1" applyAlignment="1" applyProtection="1">
      <alignment horizontal="center"/>
    </xf>
    <xf numFmtId="1" fontId="5" fillId="6" borderId="92" xfId="1" applyNumberFormat="1" applyFont="1" applyFill="1" applyBorder="1" applyProtection="1"/>
    <xf numFmtId="0" fontId="3" fillId="0" borderId="93" xfId="1" applyBorder="1"/>
    <xf numFmtId="0" fontId="22" fillId="17" borderId="94" xfId="1" applyFont="1" applyFill="1" applyBorder="1" applyAlignment="1">
      <alignment vertical="center"/>
    </xf>
    <xf numFmtId="0" fontId="3" fillId="17" borderId="95" xfId="1" applyFill="1" applyBorder="1"/>
    <xf numFmtId="0" fontId="5" fillId="17" borderId="95" xfId="1" applyFont="1" applyFill="1" applyBorder="1" applyProtection="1"/>
    <xf numFmtId="0" fontId="5" fillId="17" borderId="96" xfId="1" applyFont="1" applyFill="1" applyBorder="1" applyAlignment="1" applyProtection="1">
      <alignment horizontal="center"/>
    </xf>
    <xf numFmtId="0" fontId="23" fillId="25" borderId="97" xfId="4" applyFont="1" applyFill="1" applyBorder="1" applyAlignment="1" applyProtection="1">
      <alignment vertical="center" wrapText="1"/>
    </xf>
    <xf numFmtId="0" fontId="23" fillId="25" borderId="98" xfId="4" applyFont="1" applyFill="1" applyBorder="1" applyAlignment="1" applyProtection="1">
      <alignment vertical="center" wrapText="1"/>
    </xf>
    <xf numFmtId="0" fontId="23" fillId="25" borderId="99" xfId="4" applyFont="1" applyFill="1" applyBorder="1" applyAlignment="1" applyProtection="1">
      <alignment vertical="center" wrapText="1"/>
    </xf>
    <xf numFmtId="0" fontId="24" fillId="26" borderId="40" xfId="1" applyFont="1" applyFill="1" applyBorder="1" applyAlignment="1" applyProtection="1">
      <alignment horizontal="center" wrapText="1"/>
    </xf>
    <xf numFmtId="0" fontId="3" fillId="26" borderId="41" xfId="2" applyFont="1" applyFill="1" applyBorder="1"/>
    <xf numFmtId="0" fontId="24" fillId="26" borderId="41" xfId="1" applyFont="1" applyFill="1" applyBorder="1" applyAlignment="1" applyProtection="1">
      <alignment wrapText="1"/>
    </xf>
    <xf numFmtId="0" fontId="24" fillId="26" borderId="100" xfId="1" applyFont="1" applyFill="1" applyBorder="1" applyAlignment="1" applyProtection="1">
      <alignment wrapText="1"/>
    </xf>
    <xf numFmtId="0" fontId="8" fillId="9" borderId="101" xfId="1" applyFont="1" applyFill="1" applyBorder="1"/>
    <xf numFmtId="0" fontId="8" fillId="9" borderId="102" xfId="1" applyFont="1" applyFill="1" applyBorder="1" applyAlignment="1">
      <alignment horizontal="center" vertical="center"/>
    </xf>
    <xf numFmtId="0" fontId="8" fillId="9" borderId="77" xfId="1" applyFont="1" applyFill="1" applyBorder="1" applyAlignment="1">
      <alignment horizontal="center" vertical="center"/>
    </xf>
    <xf numFmtId="0" fontId="8" fillId="10" borderId="34" xfId="1" applyFont="1" applyFill="1" applyBorder="1" applyAlignment="1">
      <alignment horizontal="center" vertical="center"/>
    </xf>
    <xf numFmtId="0" fontId="4" fillId="10" borderId="103" xfId="1" applyFont="1" applyFill="1" applyBorder="1" applyAlignment="1" applyProtection="1">
      <alignment horizontal="center" vertical="center"/>
    </xf>
    <xf numFmtId="0" fontId="25" fillId="25" borderId="104" xfId="4" applyFont="1" applyFill="1" applyBorder="1" applyAlignment="1" applyProtection="1">
      <alignment horizontal="center" vertical="center"/>
    </xf>
    <xf numFmtId="49" fontId="25" fillId="25" borderId="105" xfId="4" applyNumberFormat="1" applyFont="1" applyFill="1" applyBorder="1" applyProtection="1"/>
    <xf numFmtId="0" fontId="25" fillId="25" borderId="106" xfId="4" applyFont="1" applyFill="1" applyBorder="1" applyAlignment="1" applyProtection="1">
      <alignment horizontal="center" vertical="center"/>
    </xf>
    <xf numFmtId="0" fontId="15" fillId="27" borderId="48" xfId="1" applyFont="1" applyFill="1" applyBorder="1" applyAlignment="1" applyProtection="1">
      <alignment horizontal="center"/>
    </xf>
    <xf numFmtId="0" fontId="26" fillId="28" borderId="49" xfId="1" quotePrefix="1" applyFont="1" applyFill="1" applyBorder="1"/>
    <xf numFmtId="0" fontId="25" fillId="29" borderId="49" xfId="1" applyFont="1" applyFill="1" applyBorder="1" applyAlignment="1" applyProtection="1">
      <alignment horizontal="center"/>
    </xf>
    <xf numFmtId="0" fontId="27" fillId="28" borderId="49" xfId="1" quotePrefix="1" applyFont="1" applyFill="1" applyBorder="1" applyAlignment="1" applyProtection="1">
      <alignment horizontal="left"/>
    </xf>
    <xf numFmtId="0" fontId="25" fillId="29" borderId="107" xfId="1" applyFont="1" applyFill="1" applyBorder="1" applyAlignment="1" applyProtection="1">
      <alignment horizontal="center"/>
    </xf>
    <xf numFmtId="0" fontId="6" fillId="0" borderId="108" xfId="1" applyFont="1" applyBorder="1"/>
    <xf numFmtId="0" fontId="3" fillId="9" borderId="14" xfId="1" applyFill="1" applyBorder="1" applyAlignment="1">
      <alignment horizontal="center" vertical="center"/>
    </xf>
    <xf numFmtId="0" fontId="3" fillId="9" borderId="109" xfId="1" applyFill="1" applyBorder="1" applyAlignment="1">
      <alignment horizontal="center" vertical="center"/>
    </xf>
    <xf numFmtId="0" fontId="3" fillId="10" borderId="0" xfId="1" applyFill="1" applyBorder="1" applyAlignment="1">
      <alignment horizontal="center" vertical="center"/>
    </xf>
    <xf numFmtId="0" fontId="3" fillId="10" borderId="110" xfId="1" applyFill="1" applyBorder="1" applyAlignment="1">
      <alignment horizontal="center" vertical="center"/>
    </xf>
    <xf numFmtId="0" fontId="25" fillId="25" borderId="111" xfId="4" applyFont="1" applyFill="1" applyBorder="1" applyAlignment="1" applyProtection="1">
      <alignment horizontal="center" vertical="center"/>
    </xf>
    <xf numFmtId="49" fontId="25" fillId="25" borderId="112" xfId="4" applyNumberFormat="1" applyFont="1" applyFill="1" applyBorder="1" applyProtection="1"/>
    <xf numFmtId="0" fontId="25" fillId="25" borderId="113" xfId="4" applyFont="1" applyFill="1" applyBorder="1" applyAlignment="1" applyProtection="1">
      <alignment horizontal="center" vertical="center"/>
    </xf>
    <xf numFmtId="0" fontId="25" fillId="27" borderId="55" xfId="1" applyFont="1" applyFill="1" applyBorder="1" applyAlignment="1" applyProtection="1">
      <alignment horizontal="center"/>
    </xf>
    <xf numFmtId="0" fontId="26" fillId="28" borderId="56" xfId="1" quotePrefix="1" applyFont="1" applyFill="1" applyBorder="1"/>
    <xf numFmtId="0" fontId="25" fillId="29" borderId="56" xfId="1" applyFont="1" applyFill="1" applyBorder="1" applyAlignment="1" applyProtection="1">
      <alignment horizontal="center"/>
    </xf>
    <xf numFmtId="0" fontId="27" fillId="28" borderId="56" xfId="1" quotePrefix="1" applyFont="1" applyFill="1" applyBorder="1" applyAlignment="1" applyProtection="1">
      <alignment horizontal="left"/>
    </xf>
    <xf numFmtId="0" fontId="25" fillId="29" borderId="114" xfId="1" applyFont="1" applyFill="1" applyBorder="1" applyAlignment="1" applyProtection="1">
      <alignment horizontal="center"/>
    </xf>
    <xf numFmtId="0" fontId="3" fillId="9" borderId="18" xfId="1" applyFill="1" applyBorder="1" applyAlignment="1">
      <alignment horizontal="center" vertical="center"/>
    </xf>
    <xf numFmtId="0" fontId="3" fillId="9" borderId="20" xfId="1" applyFill="1" applyBorder="1" applyAlignment="1">
      <alignment horizontal="center" vertical="center"/>
    </xf>
    <xf numFmtId="0" fontId="3" fillId="0" borderId="108" xfId="1" applyBorder="1"/>
    <xf numFmtId="0" fontId="25" fillId="25" borderId="115" xfId="4" applyFont="1" applyFill="1" applyBorder="1" applyAlignment="1" applyProtection="1">
      <alignment horizontal="center" vertical="center"/>
    </xf>
    <xf numFmtId="49" fontId="25" fillId="25" borderId="116" xfId="4" applyNumberFormat="1" applyFont="1" applyFill="1" applyBorder="1" applyProtection="1"/>
    <xf numFmtId="0" fontId="25" fillId="25" borderId="117" xfId="4" applyFont="1" applyFill="1" applyBorder="1" applyAlignment="1" applyProtection="1">
      <alignment horizontal="center" vertical="center"/>
    </xf>
    <xf numFmtId="0" fontId="3" fillId="0" borderId="0" xfId="1" applyFont="1" applyFill="1" applyBorder="1"/>
    <xf numFmtId="0" fontId="3" fillId="0" borderId="118" xfId="2" applyFont="1" applyFill="1" applyBorder="1"/>
    <xf numFmtId="0" fontId="25" fillId="30" borderId="0" xfId="1" applyFont="1" applyFill="1" applyBorder="1" applyProtection="1"/>
    <xf numFmtId="0" fontId="25" fillId="30" borderId="0" xfId="1" applyFont="1" applyFill="1" applyBorder="1" applyAlignment="1" applyProtection="1">
      <alignment horizontal="center"/>
    </xf>
    <xf numFmtId="1" fontId="25" fillId="30" borderId="0" xfId="1" applyNumberFormat="1" applyFont="1" applyFill="1" applyBorder="1" applyProtection="1"/>
    <xf numFmtId="0" fontId="3" fillId="0" borderId="119" xfId="1" applyFont="1" applyFill="1" applyBorder="1"/>
    <xf numFmtId="0" fontId="24" fillId="31" borderId="120" xfId="1" applyFont="1" applyFill="1" applyBorder="1" applyAlignment="1" applyProtection="1">
      <alignment horizontal="center" vertical="top" wrapText="1"/>
    </xf>
    <xf numFmtId="0" fontId="24" fillId="31" borderId="13" xfId="1" applyFont="1" applyFill="1" applyBorder="1" applyAlignment="1" applyProtection="1">
      <alignment vertical="top" wrapText="1"/>
    </xf>
    <xf numFmtId="0" fontId="24" fillId="31" borderId="15" xfId="1" applyFont="1" applyFill="1" applyBorder="1" applyAlignment="1" applyProtection="1">
      <alignment vertical="top" wrapText="1"/>
    </xf>
    <xf numFmtId="0" fontId="24" fillId="32" borderId="35" xfId="1" applyFont="1" applyFill="1" applyBorder="1" applyAlignment="1" applyProtection="1">
      <alignment horizontal="center" vertical="top" wrapText="1"/>
    </xf>
    <xf numFmtId="0" fontId="24" fillId="32" borderId="4" xfId="1" applyFont="1" applyFill="1" applyBorder="1" applyAlignment="1" applyProtection="1">
      <alignment vertical="top" wrapText="1"/>
    </xf>
    <xf numFmtId="0" fontId="24" fillId="32" borderId="11" xfId="1" applyFont="1" applyFill="1" applyBorder="1" applyAlignment="1" applyProtection="1">
      <alignment vertical="top" wrapText="1"/>
    </xf>
    <xf numFmtId="49" fontId="3" fillId="33" borderId="121" xfId="1" applyNumberFormat="1" applyFont="1" applyFill="1" applyBorder="1" applyAlignment="1">
      <alignment horizontal="right" indent="1"/>
    </xf>
    <xf numFmtId="49" fontId="3" fillId="31" borderId="19" xfId="1" applyNumberFormat="1" applyFont="1" applyFill="1" applyBorder="1"/>
    <xf numFmtId="49" fontId="3" fillId="31" borderId="19" xfId="1" applyNumberFormat="1" applyFont="1" applyFill="1" applyBorder="1" applyAlignment="1" applyProtection="1">
      <alignment horizontal="right" indent="1"/>
    </xf>
    <xf numFmtId="49" fontId="3" fillId="33" borderId="20" xfId="1" applyNumberFormat="1" applyFont="1" applyFill="1" applyBorder="1"/>
    <xf numFmtId="49" fontId="3" fillId="34" borderId="122" xfId="1" applyNumberFormat="1" applyFont="1" applyFill="1" applyBorder="1" applyAlignment="1">
      <alignment horizontal="right" indent="1"/>
    </xf>
    <xf numFmtId="49" fontId="3" fillId="32" borderId="123" xfId="1" applyNumberFormat="1" applyFont="1" applyFill="1" applyBorder="1"/>
    <xf numFmtId="49" fontId="3" fillId="35" borderId="124" xfId="1" applyNumberFormat="1" applyFont="1" applyFill="1" applyBorder="1" applyAlignment="1" applyProtection="1">
      <alignment horizontal="right" indent="1"/>
    </xf>
    <xf numFmtId="49" fontId="3" fillId="36" borderId="125" xfId="1" applyNumberFormat="1" applyFont="1" applyFill="1" applyBorder="1"/>
    <xf numFmtId="49" fontId="3" fillId="34" borderId="126" xfId="1" applyNumberFormat="1" applyFont="1" applyFill="1" applyBorder="1" applyAlignment="1">
      <alignment horizontal="right" indent="1"/>
    </xf>
    <xf numFmtId="49" fontId="3" fillId="32" borderId="127" xfId="1" applyNumberFormat="1" applyFont="1" applyFill="1" applyBorder="1"/>
    <xf numFmtId="49" fontId="3" fillId="36" borderId="128" xfId="1" applyNumberFormat="1" applyFont="1" applyFill="1" applyBorder="1"/>
    <xf numFmtId="0" fontId="3" fillId="0" borderId="129" xfId="1" applyBorder="1"/>
    <xf numFmtId="0" fontId="3" fillId="9" borderId="130" xfId="1" applyFill="1" applyBorder="1" applyAlignment="1">
      <alignment horizontal="center" vertical="center"/>
    </xf>
    <xf numFmtId="0" fontId="3" fillId="9" borderId="131" xfId="1" applyFill="1" applyBorder="1" applyAlignment="1">
      <alignment horizontal="center" vertical="center"/>
    </xf>
    <xf numFmtId="0" fontId="3" fillId="10" borderId="132" xfId="1" applyFill="1" applyBorder="1" applyAlignment="1">
      <alignment horizontal="center" vertical="center"/>
    </xf>
    <xf numFmtId="0" fontId="3" fillId="10" borderId="133" xfId="1" applyFill="1" applyBorder="1" applyAlignment="1">
      <alignment horizontal="center" vertical="center"/>
    </xf>
    <xf numFmtId="49" fontId="3" fillId="34" borderId="134" xfId="1" applyNumberFormat="1" applyFont="1" applyFill="1" applyBorder="1" applyAlignment="1">
      <alignment horizontal="right" indent="1"/>
    </xf>
    <xf numFmtId="49" fontId="3" fillId="37" borderId="12" xfId="1" applyNumberFormat="1" applyFont="1" applyFill="1" applyBorder="1" applyAlignment="1">
      <alignment horizontal="center"/>
    </xf>
    <xf numFmtId="49" fontId="3" fillId="19" borderId="135" xfId="1" applyNumberFormat="1" applyFill="1" applyBorder="1" applyAlignment="1">
      <alignment horizontal="center"/>
    </xf>
    <xf numFmtId="49" fontId="3" fillId="37" borderId="18" xfId="1" applyNumberFormat="1" applyFont="1" applyFill="1" applyBorder="1" applyAlignment="1">
      <alignment horizontal="center"/>
    </xf>
    <xf numFmtId="49" fontId="3" fillId="19" borderId="136" xfId="1" applyNumberFormat="1" applyFill="1" applyBorder="1" applyAlignment="1">
      <alignment horizontal="center"/>
    </xf>
    <xf numFmtId="49" fontId="3" fillId="34" borderId="5" xfId="1" applyNumberFormat="1" applyFont="1" applyFill="1" applyBorder="1" applyAlignment="1">
      <alignment horizontal="right" indent="1"/>
    </xf>
    <xf numFmtId="49" fontId="3" fillId="32" borderId="137" xfId="1" applyNumberFormat="1" applyFont="1" applyFill="1" applyBorder="1"/>
    <xf numFmtId="49" fontId="3" fillId="35" borderId="138" xfId="1" applyNumberFormat="1" applyFont="1" applyFill="1" applyBorder="1" applyAlignment="1" applyProtection="1">
      <alignment horizontal="right" indent="1"/>
    </xf>
    <xf numFmtId="49" fontId="3" fillId="36" borderId="139" xfId="1" applyNumberFormat="1" applyFont="1" applyFill="1" applyBorder="1"/>
    <xf numFmtId="49" fontId="3" fillId="33" borderId="140" xfId="1" applyNumberFormat="1" applyFont="1" applyFill="1" applyBorder="1" applyAlignment="1">
      <alignment horizontal="right" indent="1"/>
    </xf>
    <xf numFmtId="49" fontId="3" fillId="31" borderId="141" xfId="1" applyNumberFormat="1" applyFont="1" applyFill="1" applyBorder="1"/>
    <xf numFmtId="49" fontId="3" fillId="31" borderId="141" xfId="1" applyNumberFormat="1" applyFont="1" applyFill="1" applyBorder="1" applyAlignment="1" applyProtection="1">
      <alignment horizontal="right" indent="1"/>
    </xf>
    <xf numFmtId="49" fontId="3" fillId="33" borderId="142" xfId="1" applyNumberFormat="1" applyFont="1" applyFill="1" applyBorder="1"/>
    <xf numFmtId="0" fontId="3" fillId="0" borderId="144" xfId="1" applyFont="1" applyFill="1" applyBorder="1"/>
    <xf numFmtId="49" fontId="3" fillId="37" borderId="29" xfId="1" applyNumberFormat="1" applyFont="1" applyFill="1" applyBorder="1" applyAlignment="1">
      <alignment horizontal="center"/>
    </xf>
    <xf numFmtId="49" fontId="3" fillId="19" borderId="145" xfId="1" applyNumberFormat="1" applyFill="1" applyBorder="1" applyAlignment="1">
      <alignment horizontal="center"/>
    </xf>
    <xf numFmtId="0" fontId="74" fillId="74" borderId="2" xfId="4" applyFont="1" applyFill="1" applyBorder="1" applyAlignment="1" applyProtection="1">
      <alignment vertical="center"/>
      <protection locked="0"/>
    </xf>
    <xf numFmtId="0" fontId="74" fillId="74" borderId="0" xfId="4" applyFont="1" applyFill="1" applyBorder="1" applyAlignment="1" applyProtection="1">
      <alignment horizontal="left" vertical="center"/>
    </xf>
    <xf numFmtId="0" fontId="3" fillId="0" borderId="190" xfId="1" applyBorder="1"/>
    <xf numFmtId="0" fontId="3" fillId="6" borderId="46" xfId="4" applyFill="1" applyBorder="1" applyAlignment="1" applyProtection="1">
      <alignment vertical="center"/>
    </xf>
    <xf numFmtId="0" fontId="3" fillId="6" borderId="7" xfId="4" applyFill="1" applyBorder="1" applyAlignment="1" applyProtection="1">
      <alignment vertical="center"/>
    </xf>
    <xf numFmtId="0" fontId="3" fillId="6" borderId="59" xfId="4" applyFill="1" applyBorder="1" applyAlignment="1" applyProtection="1">
      <alignment vertical="center"/>
    </xf>
    <xf numFmtId="0" fontId="8" fillId="13" borderId="5" xfId="1" applyFont="1" applyFill="1" applyBorder="1" applyAlignment="1">
      <alignment horizontal="center" vertical="center"/>
    </xf>
    <xf numFmtId="0" fontId="1" fillId="0" borderId="0" xfId="704"/>
    <xf numFmtId="49" fontId="22" fillId="80" borderId="0" xfId="1" applyNumberFormat="1" applyFont="1" applyFill="1" applyAlignment="1" applyProtection="1">
      <alignment horizontal="right" vertical="top"/>
    </xf>
    <xf numFmtId="14" fontId="97" fillId="80" borderId="0" xfId="1" applyNumberFormat="1" applyFont="1" applyFill="1" applyAlignment="1">
      <alignment horizontal="left" vertical="top"/>
    </xf>
    <xf numFmtId="0" fontId="97" fillId="80" borderId="0" xfId="2" applyFont="1" applyFill="1" applyAlignment="1">
      <alignment vertical="top"/>
    </xf>
    <xf numFmtId="0" fontId="97" fillId="80" borderId="0" xfId="1" applyFont="1" applyFill="1" applyAlignment="1">
      <alignment vertical="top"/>
    </xf>
    <xf numFmtId="0" fontId="97" fillId="80" borderId="0" xfId="1" applyFont="1" applyFill="1" applyAlignment="1" applyProtection="1">
      <alignment vertical="top"/>
    </xf>
    <xf numFmtId="0" fontId="97" fillId="80" borderId="0" xfId="1" applyFont="1" applyFill="1" applyAlignment="1" applyProtection="1">
      <alignment horizontal="center" vertical="top"/>
    </xf>
    <xf numFmtId="1" fontId="97" fillId="80" borderId="0" xfId="1" applyNumberFormat="1" applyFont="1" applyFill="1" applyAlignment="1" applyProtection="1">
      <alignment vertical="top"/>
    </xf>
    <xf numFmtId="0" fontId="7" fillId="5" borderId="0" xfId="704" applyFont="1" applyFill="1" applyAlignment="1"/>
    <xf numFmtId="0" fontId="97" fillId="80" borderId="0" xfId="1" applyFont="1" applyFill="1" applyAlignment="1">
      <alignment horizontal="left" vertical="top"/>
    </xf>
    <xf numFmtId="0" fontId="2" fillId="7" borderId="3" xfId="704" applyFont="1" applyFill="1" applyBorder="1" applyAlignment="1">
      <alignment horizontal="center"/>
    </xf>
    <xf numFmtId="0" fontId="9" fillId="8" borderId="4" xfId="704" applyFont="1" applyFill="1" applyBorder="1" applyAlignment="1">
      <alignment horizontal="center"/>
    </xf>
    <xf numFmtId="0" fontId="8" fillId="81" borderId="0" xfId="1" applyFont="1" applyFill="1"/>
    <xf numFmtId="0" fontId="8" fillId="7" borderId="7" xfId="704" applyFont="1" applyFill="1" applyBorder="1" applyAlignment="1">
      <alignment horizontal="center"/>
    </xf>
    <xf numFmtId="0" fontId="8" fillId="7" borderId="0" xfId="704" applyFont="1" applyFill="1" applyBorder="1" applyAlignment="1">
      <alignment horizontal="center"/>
    </xf>
    <xf numFmtId="0" fontId="2" fillId="7" borderId="8" xfId="704" applyFont="1" applyFill="1" applyBorder="1" applyAlignment="1">
      <alignment horizontal="center"/>
    </xf>
    <xf numFmtId="0" fontId="9" fillId="8" borderId="6" xfId="704" applyFont="1" applyFill="1" applyBorder="1" applyAlignment="1">
      <alignment horizontal="center"/>
    </xf>
    <xf numFmtId="0" fontId="2" fillId="4" borderId="7" xfId="704" applyFont="1" applyFill="1" applyBorder="1" applyAlignment="1">
      <alignment horizontal="center"/>
    </xf>
    <xf numFmtId="0" fontId="2" fillId="4" borderId="0" xfId="704" applyFont="1" applyFill="1" applyBorder="1" applyAlignment="1">
      <alignment horizontal="center"/>
    </xf>
    <xf numFmtId="0" fontId="2" fillId="4" borderId="8" xfId="704" applyFont="1" applyFill="1" applyBorder="1" applyAlignment="1">
      <alignment horizontal="center"/>
    </xf>
    <xf numFmtId="0" fontId="2" fillId="7" borderId="159" xfId="705" applyFont="1" applyFill="1" applyBorder="1"/>
    <xf numFmtId="0" fontId="2" fillId="7" borderId="5" xfId="705" applyFont="1" applyFill="1" applyBorder="1"/>
    <xf numFmtId="0" fontId="2" fillId="7" borderId="162" xfId="705" applyFont="1" applyFill="1" applyBorder="1" applyAlignment="1">
      <alignment horizontal="center"/>
    </xf>
    <xf numFmtId="0" fontId="9" fillId="8" borderId="6" xfId="705" applyFont="1" applyFill="1" applyBorder="1" applyAlignment="1">
      <alignment horizontal="center"/>
    </xf>
    <xf numFmtId="0" fontId="1" fillId="4" borderId="7" xfId="704" applyFill="1" applyBorder="1"/>
    <xf numFmtId="0" fontId="1" fillId="4" borderId="0" xfId="704" applyFill="1" applyBorder="1"/>
    <xf numFmtId="0" fontId="1" fillId="4" borderId="8" xfId="704" applyFill="1" applyBorder="1"/>
    <xf numFmtId="0" fontId="4" fillId="9" borderId="1" xfId="1" applyNumberFormat="1" applyFont="1" applyFill="1" applyBorder="1" applyAlignment="1">
      <alignment wrapText="1"/>
    </xf>
    <xf numFmtId="0" fontId="4" fillId="9" borderId="196" xfId="4" applyNumberFormat="1" applyFont="1" applyFill="1" applyBorder="1" applyAlignment="1">
      <alignment wrapText="1"/>
    </xf>
    <xf numFmtId="49" fontId="4" fillId="9" borderId="196" xfId="1" applyNumberFormat="1" applyFont="1" applyFill="1" applyBorder="1" applyAlignment="1">
      <alignment wrapText="1"/>
    </xf>
    <xf numFmtId="0" fontId="8" fillId="10" borderId="1" xfId="2" applyNumberFormat="1" applyFont="1" applyFill="1" applyBorder="1" applyAlignment="1">
      <alignment horizontal="center" wrapText="1"/>
    </xf>
    <xf numFmtId="0" fontId="8" fillId="10" borderId="196" xfId="2" applyNumberFormat="1" applyFont="1" applyFill="1" applyBorder="1" applyAlignment="1">
      <alignment horizontal="center" wrapText="1"/>
    </xf>
    <xf numFmtId="1" fontId="8" fillId="10" borderId="196" xfId="2" applyNumberFormat="1" applyFont="1" applyFill="1" applyBorder="1" applyAlignment="1">
      <alignment horizontal="center" wrapText="1"/>
    </xf>
    <xf numFmtId="0" fontId="8" fillId="11" borderId="1" xfId="2" applyNumberFormat="1" applyFont="1" applyFill="1" applyBorder="1" applyAlignment="1">
      <alignment horizontal="center" wrapText="1"/>
    </xf>
    <xf numFmtId="0" fontId="8" fillId="11" borderId="197" xfId="2" applyNumberFormat="1" applyFont="1" applyFill="1" applyBorder="1" applyAlignment="1">
      <alignment horizontal="center" wrapText="1"/>
    </xf>
    <xf numFmtId="0" fontId="8" fillId="12" borderId="196" xfId="4" applyNumberFormat="1" applyFont="1" applyFill="1" applyBorder="1" applyAlignment="1">
      <alignment vertical="center" wrapText="1"/>
    </xf>
    <xf numFmtId="0" fontId="8" fillId="12" borderId="197" xfId="4" applyNumberFormat="1" applyFont="1" applyFill="1" applyBorder="1" applyAlignment="1">
      <alignment vertical="center" wrapText="1"/>
    </xf>
    <xf numFmtId="0" fontId="8" fillId="13" borderId="197" xfId="4" applyNumberFormat="1" applyFont="1" applyFill="1" applyBorder="1" applyAlignment="1">
      <alignment vertical="center" wrapText="1"/>
    </xf>
    <xf numFmtId="0" fontId="8" fillId="14" borderId="1" xfId="4" applyNumberFormat="1" applyFont="1" applyFill="1" applyBorder="1" applyAlignment="1">
      <alignment vertical="center" wrapText="1"/>
    </xf>
    <xf numFmtId="0" fontId="8" fillId="14" borderId="197" xfId="4" applyNumberFormat="1" applyFont="1" applyFill="1" applyBorder="1" applyAlignment="1">
      <alignment vertical="center" wrapText="1"/>
    </xf>
    <xf numFmtId="0" fontId="8" fillId="14" borderId="2" xfId="4" applyNumberFormat="1" applyFont="1" applyFill="1" applyBorder="1" applyAlignment="1">
      <alignment vertical="center" wrapText="1"/>
    </xf>
    <xf numFmtId="0" fontId="8" fillId="14" borderId="102" xfId="4" applyNumberFormat="1" applyFont="1" applyFill="1" applyBorder="1" applyAlignment="1">
      <alignment vertical="center" wrapText="1"/>
    </xf>
    <xf numFmtId="0" fontId="8" fillId="81" borderId="198" xfId="1" applyFont="1" applyFill="1" applyBorder="1" applyAlignment="1">
      <alignment wrapText="1"/>
    </xf>
    <xf numFmtId="0" fontId="8" fillId="0" borderId="199" xfId="1" applyNumberFormat="1" applyFont="1" applyBorder="1" applyAlignment="1"/>
    <xf numFmtId="0" fontId="5" fillId="6" borderId="1" xfId="1" applyNumberFormat="1" applyFont="1" applyFill="1" applyBorder="1" applyAlignment="1">
      <alignment vertical="top"/>
    </xf>
    <xf numFmtId="0" fontId="5" fillId="6" borderId="1" xfId="4" applyNumberFormat="1" applyFont="1" applyFill="1" applyBorder="1" applyAlignment="1">
      <alignment vertical="top"/>
    </xf>
    <xf numFmtId="164" fontId="3" fillId="6" borderId="200" xfId="1" applyNumberFormat="1" applyFont="1" applyFill="1" applyBorder="1" applyAlignment="1">
      <alignment horizontal="right" vertical="top" indent="1"/>
    </xf>
    <xf numFmtId="0" fontId="3" fillId="79" borderId="1" xfId="2" applyNumberFormat="1" applyFont="1" applyFill="1" applyBorder="1" applyAlignment="1">
      <alignment vertical="top"/>
    </xf>
    <xf numFmtId="0" fontId="3" fillId="79" borderId="197" xfId="1" applyNumberFormat="1" applyFont="1" applyFill="1" applyBorder="1" applyAlignment="1">
      <alignment vertical="top"/>
    </xf>
    <xf numFmtId="0" fontId="10" fillId="6" borderId="197" xfId="1" applyNumberFormat="1" applyFont="1" applyFill="1" applyBorder="1" applyAlignment="1">
      <alignment vertical="top"/>
    </xf>
    <xf numFmtId="0" fontId="10" fillId="6" borderId="197" xfId="1" applyNumberFormat="1" applyFont="1" applyFill="1" applyBorder="1" applyAlignment="1">
      <alignment horizontal="center" vertical="top"/>
    </xf>
    <xf numFmtId="0" fontId="3" fillId="79" borderId="197" xfId="1" applyNumberFormat="1" applyFont="1" applyFill="1" applyBorder="1" applyAlignment="1">
      <alignment horizontal="center" vertical="top"/>
    </xf>
    <xf numFmtId="1" fontId="3" fillId="79" borderId="197" xfId="1" applyNumberFormat="1" applyFont="1" applyFill="1" applyBorder="1" applyAlignment="1">
      <alignment horizontal="center" vertical="top"/>
    </xf>
    <xf numFmtId="0" fontId="3" fillId="79" borderId="1" xfId="2" applyNumberFormat="1" applyFont="1" applyFill="1" applyBorder="1" applyAlignment="1">
      <alignment horizontal="center" vertical="top"/>
    </xf>
    <xf numFmtId="0" fontId="11" fillId="79" borderId="197" xfId="1" applyNumberFormat="1" applyFont="1" applyFill="1" applyBorder="1" applyAlignment="1">
      <alignment vertical="top"/>
    </xf>
    <xf numFmtId="0" fontId="98" fillId="79" borderId="1" xfId="704" applyFont="1" applyFill="1" applyBorder="1" applyAlignment="1">
      <alignment horizontal="left" vertical="center"/>
    </xf>
    <xf numFmtId="0" fontId="3" fillId="79" borderId="197" xfId="1" applyNumberFormat="1" applyFont="1" applyFill="1" applyBorder="1" applyAlignment="1">
      <alignment vertical="center"/>
    </xf>
    <xf numFmtId="0" fontId="98" fillId="79" borderId="197" xfId="704" applyFont="1" applyFill="1" applyBorder="1" applyAlignment="1">
      <alignment vertical="center"/>
    </xf>
    <xf numFmtId="0" fontId="98" fillId="79" borderId="197" xfId="704" applyFont="1" applyFill="1" applyBorder="1" applyAlignment="1">
      <alignment horizontal="left" vertical="center"/>
    </xf>
    <xf numFmtId="189" fontId="3" fillId="79" borderId="197" xfId="1" applyNumberFormat="1" applyFont="1" applyFill="1" applyBorder="1" applyAlignment="1">
      <alignment horizontal="center" vertical="center"/>
    </xf>
    <xf numFmtId="0" fontId="3" fillId="79" borderId="1" xfId="1" applyNumberFormat="1" applyFont="1" applyFill="1" applyBorder="1" applyAlignment="1">
      <alignment vertical="center"/>
    </xf>
    <xf numFmtId="189" fontId="3" fillId="79" borderId="197" xfId="1" applyNumberFormat="1" applyFont="1" applyFill="1" applyBorder="1" applyAlignment="1">
      <alignment horizontal="center"/>
    </xf>
    <xf numFmtId="0" fontId="98" fillId="0" borderId="1" xfId="705" applyNumberFormat="1" applyFont="1" applyFill="1" applyBorder="1" applyAlignment="1"/>
    <xf numFmtId="0" fontId="98" fillId="0" borderId="197" xfId="705" applyNumberFormat="1" applyFont="1" applyFill="1" applyBorder="1" applyAlignment="1"/>
    <xf numFmtId="0" fontId="98" fillId="6" borderId="196" xfId="705" applyNumberFormat="1" applyFont="1" applyFill="1" applyBorder="1" applyAlignment="1"/>
    <xf numFmtId="0" fontId="98" fillId="79" borderId="1" xfId="704" applyFont="1" applyFill="1" applyBorder="1"/>
    <xf numFmtId="0" fontId="98" fillId="79" borderId="197" xfId="704" applyFont="1" applyFill="1" applyBorder="1"/>
    <xf numFmtId="0" fontId="3" fillId="79" borderId="197" xfId="704" applyFont="1" applyFill="1" applyBorder="1"/>
    <xf numFmtId="0" fontId="98" fillId="79" borderId="14" xfId="704" applyFont="1" applyFill="1" applyBorder="1"/>
    <xf numFmtId="0" fontId="3" fillId="0" borderId="201" xfId="1" applyBorder="1" applyAlignment="1">
      <alignment horizontal="center"/>
    </xf>
    <xf numFmtId="0" fontId="5" fillId="6" borderId="202" xfId="1" applyNumberFormat="1" applyFont="1" applyFill="1" applyBorder="1" applyAlignment="1">
      <alignment vertical="top"/>
    </xf>
    <xf numFmtId="0" fontId="5" fillId="6" borderId="165" xfId="1" applyNumberFormat="1" applyFont="1" applyFill="1" applyBorder="1" applyAlignment="1">
      <alignment vertical="top"/>
    </xf>
    <xf numFmtId="0" fontId="5" fillId="6" borderId="165" xfId="4" applyNumberFormat="1" applyFont="1" applyFill="1" applyBorder="1" applyAlignment="1">
      <alignment vertical="top"/>
    </xf>
    <xf numFmtId="164" fontId="3" fillId="6" borderId="27" xfId="1" applyNumberFormat="1" applyFont="1" applyFill="1" applyBorder="1" applyAlignment="1">
      <alignment horizontal="right" vertical="top" indent="1"/>
    </xf>
    <xf numFmtId="0" fontId="3" fillId="0" borderId="188" xfId="2" applyNumberFormat="1" applyFont="1" applyBorder="1" applyAlignment="1">
      <alignment vertical="top"/>
    </xf>
    <xf numFmtId="0" fontId="3" fillId="0" borderId="28" xfId="1" applyNumberFormat="1" applyFont="1" applyBorder="1" applyAlignment="1">
      <alignment vertical="top"/>
    </xf>
    <xf numFmtId="0" fontId="10" fillId="6" borderId="28" xfId="1" applyNumberFormat="1" applyFont="1" applyFill="1" applyBorder="1" applyAlignment="1">
      <alignment vertical="top"/>
    </xf>
    <xf numFmtId="0" fontId="10" fillId="6" borderId="28" xfId="1" applyNumberFormat="1" applyFont="1" applyFill="1" applyBorder="1" applyAlignment="1">
      <alignment horizontal="center" vertical="top"/>
    </xf>
    <xf numFmtId="0" fontId="3" fillId="0" borderId="28" xfId="1" applyNumberFormat="1" applyFont="1" applyBorder="1" applyAlignment="1">
      <alignment horizontal="center" vertical="top"/>
    </xf>
    <xf numFmtId="1" fontId="5" fillId="6" borderId="28" xfId="1" applyNumberFormat="1" applyFont="1" applyFill="1" applyBorder="1" applyAlignment="1">
      <alignment horizontal="center" vertical="top"/>
    </xf>
    <xf numFmtId="0" fontId="3" fillId="0" borderId="188" xfId="2" applyNumberFormat="1" applyFont="1" applyBorder="1" applyAlignment="1">
      <alignment horizontal="center" vertical="top"/>
    </xf>
    <xf numFmtId="0" fontId="98" fillId="0" borderId="188" xfId="704" applyFont="1" applyBorder="1" applyAlignment="1">
      <alignment horizontal="left" vertical="center"/>
    </xf>
    <xf numFmtId="0" fontId="3" fillId="0" borderId="28" xfId="1" applyNumberFormat="1" applyFont="1" applyBorder="1" applyAlignment="1">
      <alignment vertical="center"/>
    </xf>
    <xf numFmtId="0" fontId="98" fillId="0" borderId="28" xfId="704" applyFont="1" applyBorder="1" applyAlignment="1">
      <alignment vertical="center"/>
    </xf>
    <xf numFmtId="0" fontId="98" fillId="0" borderId="28" xfId="704" applyFont="1" applyBorder="1" applyAlignment="1">
      <alignment horizontal="left" vertical="center"/>
    </xf>
    <xf numFmtId="189" fontId="3" fillId="0" borderId="28" xfId="1" applyNumberFormat="1" applyFont="1" applyBorder="1" applyAlignment="1">
      <alignment horizontal="center" vertical="center"/>
    </xf>
    <xf numFmtId="0" fontId="3" fillId="0" borderId="188" xfId="1" applyNumberFormat="1" applyFont="1" applyBorder="1" applyAlignment="1">
      <alignment vertical="center"/>
    </xf>
    <xf numFmtId="189" fontId="3" fillId="0" borderId="28" xfId="1" applyNumberFormat="1" applyFont="1" applyBorder="1" applyAlignment="1">
      <alignment horizontal="center"/>
    </xf>
    <xf numFmtId="0" fontId="98" fillId="0" borderId="188" xfId="704" applyFont="1" applyFill="1" applyBorder="1"/>
    <xf numFmtId="0" fontId="98" fillId="0" borderId="28" xfId="704" applyFont="1" applyFill="1" applyBorder="1"/>
    <xf numFmtId="0" fontId="98" fillId="6" borderId="203" xfId="704" applyFont="1" applyFill="1" applyBorder="1"/>
    <xf numFmtId="0" fontId="98" fillId="0" borderId="188" xfId="704" applyFont="1" applyBorder="1"/>
    <xf numFmtId="0" fontId="98" fillId="0" borderId="28" xfId="704" applyFont="1" applyBorder="1"/>
    <xf numFmtId="0" fontId="3" fillId="0" borderId="28" xfId="704" applyFont="1" applyBorder="1"/>
    <xf numFmtId="0" fontId="98" fillId="0" borderId="18" xfId="704" applyFont="1" applyBorder="1"/>
    <xf numFmtId="0" fontId="3" fillId="0" borderId="136" xfId="1" applyBorder="1" applyAlignment="1">
      <alignment horizontal="center"/>
    </xf>
    <xf numFmtId="0" fontId="5" fillId="6" borderId="26" xfId="1" applyNumberFormat="1" applyFont="1" applyFill="1" applyBorder="1" applyAlignment="1">
      <alignment vertical="top"/>
    </xf>
    <xf numFmtId="0" fontId="12" fillId="6" borderId="165" xfId="1" applyNumberFormat="1" applyFont="1" applyFill="1" applyBorder="1" applyAlignment="1">
      <alignment vertical="top"/>
    </xf>
    <xf numFmtId="0" fontId="3" fillId="79" borderId="188" xfId="2" applyNumberFormat="1" applyFont="1" applyFill="1" applyBorder="1" applyAlignment="1">
      <alignment vertical="top"/>
    </xf>
    <xf numFmtId="0" fontId="3" fillId="79" borderId="28" xfId="1" applyNumberFormat="1" applyFont="1" applyFill="1" applyBorder="1" applyAlignment="1">
      <alignment vertical="top"/>
    </xf>
    <xf numFmtId="0" fontId="3" fillId="79" borderId="28" xfId="1" applyNumberFormat="1" applyFont="1" applyFill="1" applyBorder="1" applyAlignment="1">
      <alignment horizontal="center" vertical="top"/>
    </xf>
    <xf numFmtId="0" fontId="3" fillId="79" borderId="188" xfId="2" applyNumberFormat="1" applyFont="1" applyFill="1" applyBorder="1" applyAlignment="1">
      <alignment horizontal="center" vertical="top"/>
    </xf>
    <xf numFmtId="0" fontId="98" fillId="79" borderId="188" xfId="704" applyFont="1" applyFill="1" applyBorder="1" applyAlignment="1">
      <alignment horizontal="left" vertical="center"/>
    </xf>
    <xf numFmtId="0" fontId="3" fillId="79" borderId="28" xfId="1" applyNumberFormat="1" applyFont="1" applyFill="1" applyBorder="1" applyAlignment="1">
      <alignment vertical="center"/>
    </xf>
    <xf numFmtId="0" fontId="98" fillId="79" borderId="28" xfId="704" applyFont="1" applyFill="1" applyBorder="1" applyAlignment="1">
      <alignment vertical="center"/>
    </xf>
    <xf numFmtId="0" fontId="98" fillId="79" borderId="28" xfId="704" applyFont="1" applyFill="1" applyBorder="1" applyAlignment="1">
      <alignment horizontal="left" vertical="center"/>
    </xf>
    <xf numFmtId="189" fontId="3" fillId="79" borderId="28" xfId="1" applyNumberFormat="1" applyFont="1" applyFill="1" applyBorder="1" applyAlignment="1">
      <alignment horizontal="center" vertical="center"/>
    </xf>
    <xf numFmtId="0" fontId="3" fillId="79" borderId="188" xfId="1" applyNumberFormat="1" applyFont="1" applyFill="1" applyBorder="1" applyAlignment="1">
      <alignment vertical="center"/>
    </xf>
    <xf numFmtId="189" fontId="3" fillId="79" borderId="28" xfId="1" applyNumberFormat="1" applyFont="1" applyFill="1" applyBorder="1" applyAlignment="1">
      <alignment horizontal="center"/>
    </xf>
    <xf numFmtId="0" fontId="98" fillId="79" borderId="18" xfId="704" applyFont="1" applyFill="1" applyBorder="1"/>
    <xf numFmtId="0" fontId="12" fillId="6" borderId="26" xfId="1" applyNumberFormat="1" applyFont="1" applyFill="1" applyBorder="1" applyAlignment="1">
      <alignment vertical="top"/>
    </xf>
    <xf numFmtId="1" fontId="3" fillId="0" borderId="28" xfId="1" applyNumberFormat="1" applyFont="1" applyBorder="1" applyAlignment="1">
      <alignment horizontal="center" vertical="top"/>
    </xf>
    <xf numFmtId="0" fontId="3" fillId="0" borderId="28" xfId="2" applyNumberFormat="1" applyFont="1" applyBorder="1" applyAlignment="1">
      <alignment vertical="center"/>
    </xf>
    <xf numFmtId="0" fontId="10" fillId="79" borderId="28" xfId="1" applyNumberFormat="1" applyFont="1" applyFill="1" applyBorder="1" applyAlignment="1">
      <alignment vertical="top"/>
    </xf>
    <xf numFmtId="0" fontId="11" fillId="79" borderId="28" xfId="1" applyNumberFormat="1" applyFont="1" applyFill="1" applyBorder="1" applyAlignment="1">
      <alignment vertical="top"/>
    </xf>
    <xf numFmtId="0" fontId="3" fillId="79" borderId="28" xfId="2" applyNumberFormat="1" applyFont="1" applyFill="1" applyBorder="1" applyAlignment="1">
      <alignment vertical="center"/>
    </xf>
    <xf numFmtId="0" fontId="10" fillId="0" borderId="28" xfId="1" applyNumberFormat="1" applyFont="1" applyBorder="1" applyAlignment="1">
      <alignment vertical="top"/>
    </xf>
    <xf numFmtId="0" fontId="11" fillId="0" borderId="28" xfId="1" applyNumberFormat="1" applyFont="1" applyBorder="1" applyAlignment="1">
      <alignment vertical="top"/>
    </xf>
    <xf numFmtId="0" fontId="98" fillId="6" borderId="203" xfId="705" applyNumberFormat="1" applyFont="1" applyFill="1" applyBorder="1" applyAlignment="1"/>
    <xf numFmtId="1" fontId="5" fillId="0" borderId="28" xfId="1" applyNumberFormat="1" applyFont="1" applyBorder="1" applyAlignment="1">
      <alignment horizontal="center" vertical="top"/>
    </xf>
    <xf numFmtId="0" fontId="98" fillId="0" borderId="188" xfId="705" applyNumberFormat="1" applyFont="1" applyFill="1" applyBorder="1" applyAlignment="1"/>
    <xf numFmtId="0" fontId="98" fillId="0" borderId="28" xfId="705" applyNumberFormat="1" applyFont="1" applyFill="1" applyBorder="1" applyAlignment="1"/>
    <xf numFmtId="0" fontId="3" fillId="79" borderId="188" xfId="1" applyNumberFormat="1" applyFont="1" applyFill="1" applyBorder="1" applyAlignment="1"/>
    <xf numFmtId="0" fontId="3" fillId="79" borderId="28" xfId="1" applyNumberFormat="1" applyFont="1" applyFill="1" applyBorder="1" applyAlignment="1"/>
    <xf numFmtId="0" fontId="3" fillId="0" borderId="188" xfId="1" applyNumberFormat="1" applyFont="1" applyBorder="1" applyAlignment="1"/>
    <xf numFmtId="0" fontId="3" fillId="0" borderId="28" xfId="1" applyNumberFormat="1" applyFont="1" applyBorder="1" applyAlignment="1"/>
    <xf numFmtId="0" fontId="5" fillId="6" borderId="165" xfId="706" applyNumberFormat="1" applyFont="1" applyFill="1" applyBorder="1" applyAlignment="1">
      <alignment vertical="top"/>
    </xf>
    <xf numFmtId="164" fontId="3" fillId="6" borderId="27" xfId="706" applyNumberFormat="1" applyFont="1" applyFill="1" applyBorder="1" applyAlignment="1">
      <alignment horizontal="right" vertical="top" indent="1"/>
    </xf>
    <xf numFmtId="1" fontId="3" fillId="79" borderId="28" xfId="1" applyNumberFormat="1" applyFont="1" applyFill="1" applyBorder="1" applyAlignment="1">
      <alignment horizontal="center" vertical="top"/>
    </xf>
    <xf numFmtId="0" fontId="5" fillId="5" borderId="165" xfId="1" applyNumberFormat="1" applyFont="1" applyFill="1" applyBorder="1" applyAlignment="1">
      <alignment vertical="top"/>
    </xf>
    <xf numFmtId="0" fontId="5" fillId="5" borderId="165" xfId="4" applyNumberFormat="1" applyFont="1" applyFill="1" applyBorder="1" applyAlignment="1">
      <alignment vertical="top"/>
    </xf>
    <xf numFmtId="164" fontId="3" fillId="5" borderId="27" xfId="1" applyNumberFormat="1" applyFont="1" applyFill="1" applyBorder="1" applyAlignment="1">
      <alignment horizontal="right" vertical="top" indent="1"/>
    </xf>
    <xf numFmtId="0" fontId="0" fillId="5" borderId="188" xfId="2" applyNumberFormat="1" applyFont="1" applyFill="1" applyBorder="1" applyAlignment="1">
      <alignment vertical="top"/>
    </xf>
    <xf numFmtId="0" fontId="3" fillId="5" borderId="28" xfId="1" applyNumberFormat="1" applyFont="1" applyFill="1" applyBorder="1" applyAlignment="1">
      <alignment vertical="top"/>
    </xf>
    <xf numFmtId="0" fontId="3" fillId="5" borderId="28" xfId="1" applyNumberFormat="1" applyFont="1" applyFill="1" applyBorder="1" applyAlignment="1">
      <alignment horizontal="center" vertical="top"/>
    </xf>
    <xf numFmtId="0" fontId="13" fillId="5" borderId="28" xfId="1" applyNumberFormat="1" applyFont="1" applyFill="1" applyBorder="1" applyAlignment="1">
      <alignment horizontal="center" vertical="top"/>
    </xf>
    <xf numFmtId="1" fontId="5" fillId="5" borderId="28" xfId="1" applyNumberFormat="1" applyFont="1" applyFill="1" applyBorder="1" applyAlignment="1">
      <alignment horizontal="center" vertical="top"/>
    </xf>
    <xf numFmtId="0" fontId="3" fillId="5" borderId="188" xfId="2" applyNumberFormat="1" applyFont="1" applyFill="1" applyBorder="1" applyAlignment="1">
      <alignment horizontal="center" vertical="top"/>
    </xf>
    <xf numFmtId="0" fontId="3" fillId="5" borderId="188" xfId="1" applyNumberFormat="1" applyFont="1" applyFill="1" applyBorder="1" applyAlignment="1">
      <alignment vertical="center"/>
    </xf>
    <xf numFmtId="0" fontId="3" fillId="5" borderId="28" xfId="1" applyNumberFormat="1" applyFont="1" applyFill="1" applyBorder="1" applyAlignment="1">
      <alignment vertical="center"/>
    </xf>
    <xf numFmtId="0" fontId="3" fillId="5" borderId="28" xfId="2" applyNumberFormat="1" applyFont="1" applyFill="1" applyBorder="1" applyAlignment="1">
      <alignment vertical="center"/>
    </xf>
    <xf numFmtId="189" fontId="3" fillId="5" borderId="28" xfId="1" applyNumberFormat="1" applyFont="1" applyFill="1" applyBorder="1" applyAlignment="1">
      <alignment horizontal="center" vertical="center"/>
    </xf>
    <xf numFmtId="0" fontId="5" fillId="5" borderId="26" xfId="1" applyNumberFormat="1" applyFont="1" applyFill="1" applyBorder="1" applyAlignment="1">
      <alignment vertical="top"/>
    </xf>
    <xf numFmtId="0" fontId="10" fillId="5" borderId="28" xfId="1" applyNumberFormat="1" applyFont="1" applyFill="1" applyBorder="1" applyAlignment="1">
      <alignment vertical="top"/>
    </xf>
    <xf numFmtId="0" fontId="10" fillId="5" borderId="28" xfId="1" applyNumberFormat="1" applyFont="1" applyFill="1" applyBorder="1" applyAlignment="1">
      <alignment horizontal="center" vertical="top"/>
    </xf>
    <xf numFmtId="1" fontId="3" fillId="5" borderId="28" xfId="1" applyNumberFormat="1" applyFont="1" applyFill="1" applyBorder="1" applyAlignment="1">
      <alignment horizontal="center" vertical="top"/>
    </xf>
    <xf numFmtId="0" fontId="0" fillId="0" borderId="28" xfId="2" applyNumberFormat="1" applyFont="1" applyBorder="1" applyAlignment="1">
      <alignment vertical="center"/>
    </xf>
    <xf numFmtId="0" fontId="0" fillId="79" borderId="28" xfId="2" applyNumberFormat="1" applyFont="1" applyFill="1" applyBorder="1" applyAlignment="1">
      <alignment vertical="center"/>
    </xf>
    <xf numFmtId="0" fontId="5" fillId="6" borderId="165" xfId="4" applyNumberFormat="1" applyFont="1" applyFill="1" applyBorder="1" applyAlignment="1">
      <alignment vertical="top" wrapText="1"/>
    </xf>
    <xf numFmtId="189" fontId="3" fillId="79" borderId="28" xfId="2" applyNumberFormat="1" applyFont="1" applyFill="1" applyBorder="1" applyAlignment="1">
      <alignment horizontal="center" vertical="center"/>
    </xf>
    <xf numFmtId="189" fontId="3" fillId="0" borderId="28" xfId="2" applyNumberFormat="1" applyFont="1" applyBorder="1" applyAlignment="1">
      <alignment horizontal="center" vertical="center"/>
    </xf>
    <xf numFmtId="0" fontId="14" fillId="79" borderId="188" xfId="704" applyFont="1" applyFill="1" applyBorder="1" applyAlignment="1">
      <alignment vertical="center" wrapText="1"/>
    </xf>
    <xf numFmtId="0" fontId="14" fillId="79" borderId="28" xfId="704" applyFont="1" applyFill="1" applyBorder="1" applyAlignment="1">
      <alignment vertical="center" wrapText="1"/>
    </xf>
    <xf numFmtId="0" fontId="14" fillId="79" borderId="18" xfId="704" applyFont="1" applyFill="1" applyBorder="1" applyAlignment="1">
      <alignment vertical="center" wrapText="1"/>
    </xf>
    <xf numFmtId="0" fontId="98" fillId="79" borderId="188" xfId="704" applyFont="1" applyFill="1" applyBorder="1"/>
    <xf numFmtId="0" fontId="98" fillId="79" borderId="28" xfId="704" applyFont="1" applyFill="1" applyBorder="1"/>
    <xf numFmtId="0" fontId="3" fillId="79" borderId="28" xfId="704" applyFont="1" applyFill="1" applyBorder="1"/>
    <xf numFmtId="0" fontId="5" fillId="6" borderId="169" xfId="1" applyNumberFormat="1" applyFont="1" applyFill="1" applyBorder="1" applyAlignment="1">
      <alignment vertical="top"/>
    </xf>
    <xf numFmtId="0" fontId="5" fillId="6" borderId="169" xfId="4" applyNumberFormat="1" applyFont="1" applyFill="1" applyBorder="1" applyAlignment="1">
      <alignment vertical="top"/>
    </xf>
    <xf numFmtId="164" fontId="3" fillId="6" borderId="160" xfId="1" applyNumberFormat="1" applyFont="1" applyFill="1" applyBorder="1" applyAlignment="1">
      <alignment horizontal="right" vertical="top" indent="1"/>
    </xf>
    <xf numFmtId="0" fontId="3" fillId="0" borderId="204" xfId="2" applyNumberFormat="1" applyFont="1" applyBorder="1" applyAlignment="1">
      <alignment vertical="top"/>
    </xf>
    <xf numFmtId="0" fontId="3" fillId="0" borderId="161" xfId="1" applyNumberFormat="1" applyFont="1" applyBorder="1" applyAlignment="1">
      <alignment vertical="top"/>
    </xf>
    <xf numFmtId="0" fontId="10" fillId="6" borderId="161" xfId="1" applyNumberFormat="1" applyFont="1" applyFill="1" applyBorder="1" applyAlignment="1">
      <alignment vertical="top"/>
    </xf>
    <xf numFmtId="0" fontId="10" fillId="6" borderId="161" xfId="1" applyNumberFormat="1" applyFont="1" applyFill="1" applyBorder="1" applyAlignment="1">
      <alignment horizontal="center" vertical="top"/>
    </xf>
    <xf numFmtId="0" fontId="3" fillId="0" borderId="161" xfId="1" applyNumberFormat="1" applyFont="1" applyBorder="1" applyAlignment="1">
      <alignment horizontal="center" vertical="top"/>
    </xf>
    <xf numFmtId="1" fontId="5" fillId="6" borderId="161" xfId="1" applyNumberFormat="1" applyFont="1" applyFill="1" applyBorder="1" applyAlignment="1">
      <alignment horizontal="center" vertical="top"/>
    </xf>
    <xf numFmtId="0" fontId="3" fillId="0" borderId="204" xfId="2" applyNumberFormat="1" applyFont="1" applyBorder="1" applyAlignment="1">
      <alignment horizontal="center" vertical="top"/>
    </xf>
    <xf numFmtId="0" fontId="11" fillId="0" borderId="161" xfId="1" applyNumberFormat="1" applyFont="1" applyBorder="1" applyAlignment="1">
      <alignment vertical="top"/>
    </xf>
    <xf numFmtId="0" fontId="3" fillId="0" borderId="204" xfId="1" applyNumberFormat="1" applyFont="1" applyBorder="1" applyAlignment="1">
      <alignment vertical="center"/>
    </xf>
    <xf numFmtId="0" fontId="3" fillId="0" borderId="161" xfId="1" applyNumberFormat="1" applyFont="1" applyBorder="1" applyAlignment="1">
      <alignment vertical="center"/>
    </xf>
    <xf numFmtId="189" fontId="3" fillId="0" borderId="161" xfId="1" applyNumberFormat="1" applyFont="1" applyBorder="1" applyAlignment="1">
      <alignment horizontal="center" vertical="center"/>
    </xf>
    <xf numFmtId="0" fontId="98" fillId="0" borderId="204" xfId="705" applyNumberFormat="1" applyFont="1" applyFill="1" applyBorder="1" applyAlignment="1"/>
    <xf numFmtId="0" fontId="98" fillId="0" borderId="161" xfId="705" applyNumberFormat="1" applyFont="1" applyFill="1" applyBorder="1" applyAlignment="1"/>
    <xf numFmtId="0" fontId="98" fillId="6" borderId="205" xfId="705" applyNumberFormat="1" applyFont="1" applyFill="1" applyBorder="1" applyAlignment="1"/>
    <xf numFmtId="0" fontId="98" fillId="0" borderId="204" xfId="704" applyFont="1" applyBorder="1"/>
    <xf numFmtId="0" fontId="98" fillId="0" borderId="161" xfId="704" applyFont="1" applyBorder="1"/>
    <xf numFmtId="0" fontId="3" fillId="0" borderId="161" xfId="704" applyFont="1" applyBorder="1"/>
    <xf numFmtId="0" fontId="98" fillId="0" borderId="29" xfId="704" applyFont="1" applyBorder="1"/>
    <xf numFmtId="0" fontId="3" fillId="0" borderId="145" xfId="1" applyBorder="1" applyAlignment="1">
      <alignment horizontal="center"/>
    </xf>
    <xf numFmtId="0" fontId="5" fillId="6" borderId="171" xfId="1" applyNumberFormat="1" applyFont="1" applyFill="1" applyBorder="1" applyAlignment="1">
      <alignment vertical="top"/>
    </xf>
    <xf numFmtId="0" fontId="4" fillId="22" borderId="159" xfId="1" applyFont="1" applyFill="1" applyBorder="1" applyAlignment="1" applyProtection="1">
      <alignment vertical="center"/>
    </xf>
    <xf numFmtId="49" fontId="22" fillId="22" borderId="34" xfId="1" applyNumberFormat="1" applyFont="1" applyFill="1" applyBorder="1" applyAlignment="1" applyProtection="1">
      <alignment horizontal="center" vertical="center"/>
    </xf>
    <xf numFmtId="49" fontId="15" fillId="22" borderId="34" xfId="1" applyNumberFormat="1" applyFont="1" applyFill="1" applyBorder="1" applyAlignment="1" applyProtection="1">
      <alignment horizontal="center" vertical="center"/>
    </xf>
    <xf numFmtId="0" fontId="8" fillId="22" borderId="0" xfId="1" applyFont="1" applyFill="1" applyBorder="1" applyAlignment="1">
      <alignment vertical="center" wrapText="1"/>
    </xf>
    <xf numFmtId="0" fontId="3" fillId="22" borderId="0" xfId="1" applyFill="1" applyBorder="1" applyAlignment="1">
      <alignment vertical="center"/>
    </xf>
    <xf numFmtId="0" fontId="5" fillId="22" borderId="8" xfId="1" applyFont="1" applyFill="1" applyBorder="1" applyAlignment="1" applyProtection="1">
      <alignment vertical="center"/>
    </xf>
    <xf numFmtId="0" fontId="2" fillId="20" borderId="11" xfId="707" applyFont="1" applyFill="1" applyBorder="1" applyAlignment="1">
      <alignment vertical="center"/>
    </xf>
    <xf numFmtId="0" fontId="8" fillId="17" borderId="43" xfId="1" applyFont="1" applyFill="1" applyBorder="1" applyAlignment="1">
      <alignment horizontal="center" vertical="center" wrapText="1"/>
    </xf>
    <xf numFmtId="0" fontId="8" fillId="17" borderId="44" xfId="1" applyFont="1" applyFill="1" applyBorder="1" applyAlignment="1">
      <alignment horizontal="center" vertical="center" wrapText="1"/>
    </xf>
    <xf numFmtId="0" fontId="8" fillId="17" borderId="45" xfId="1" applyFont="1" applyFill="1" applyBorder="1" applyAlignment="1">
      <alignment horizontal="center" vertical="center" wrapText="1"/>
    </xf>
    <xf numFmtId="49" fontId="5" fillId="22" borderId="1" xfId="1" applyNumberFormat="1" applyFont="1" applyFill="1" applyBorder="1" applyProtection="1"/>
    <xf numFmtId="49" fontId="10" fillId="22" borderId="1" xfId="1" applyNumberFormat="1" applyFont="1" applyFill="1" applyBorder="1" applyProtection="1"/>
    <xf numFmtId="0" fontId="3" fillId="22" borderId="2" xfId="1" applyFill="1" applyBorder="1"/>
    <xf numFmtId="0" fontId="5" fillId="22" borderId="12" xfId="1" quotePrefix="1" applyFont="1" applyFill="1" applyBorder="1" applyAlignment="1" applyProtection="1">
      <alignment vertical="center"/>
    </xf>
    <xf numFmtId="0" fontId="17" fillId="22" borderId="13" xfId="1" quotePrefix="1" applyFont="1" applyFill="1" applyBorder="1" applyAlignment="1" applyProtection="1">
      <alignment vertical="center"/>
    </xf>
    <xf numFmtId="0" fontId="3" fillId="22" borderId="13" xfId="1" applyFill="1" applyBorder="1"/>
    <xf numFmtId="0" fontId="13" fillId="22" borderId="135" xfId="1" applyFont="1" applyFill="1" applyBorder="1"/>
    <xf numFmtId="0" fontId="18" fillId="21" borderId="48" xfId="708" applyFont="1" applyFill="1" applyBorder="1" applyAlignment="1" applyProtection="1">
      <alignment horizontal="center" wrapText="1"/>
    </xf>
    <xf numFmtId="0" fontId="19" fillId="21" borderId="49" xfId="1" applyFont="1" applyFill="1" applyBorder="1" applyAlignment="1" applyProtection="1">
      <alignment horizontal="left" vertical="center"/>
    </xf>
    <xf numFmtId="0" fontId="20" fillId="21" borderId="49" xfId="704" applyFont="1" applyFill="1" applyBorder="1" applyAlignment="1" applyProtection="1">
      <alignment horizontal="center" vertical="center" wrapText="1"/>
    </xf>
    <xf numFmtId="0" fontId="20" fillId="21" borderId="50" xfId="704" applyFont="1" applyFill="1" applyBorder="1" applyAlignment="1" applyProtection="1">
      <alignment horizontal="center" vertical="center" wrapText="1"/>
    </xf>
    <xf numFmtId="0" fontId="3" fillId="22" borderId="211" xfId="8" applyFill="1" applyBorder="1" applyAlignment="1">
      <alignment horizontal="center" vertical="center" wrapText="1"/>
    </xf>
    <xf numFmtId="49" fontId="5" fillId="22" borderId="7" xfId="1" applyNumberFormat="1" applyFont="1" applyFill="1" applyBorder="1" applyProtection="1"/>
    <xf numFmtId="49" fontId="10" fillId="22" borderId="7" xfId="1" applyNumberFormat="1" applyFont="1" applyFill="1" applyBorder="1" applyProtection="1"/>
    <xf numFmtId="0" fontId="3" fillId="22" borderId="0" xfId="1" applyFill="1" applyBorder="1"/>
    <xf numFmtId="0" fontId="3" fillId="22" borderId="18" xfId="1" applyFill="1" applyBorder="1"/>
    <xf numFmtId="0" fontId="21" fillId="22" borderId="19" xfId="1" applyFont="1" applyFill="1" applyBorder="1"/>
    <xf numFmtId="0" fontId="3" fillId="22" borderId="19" xfId="1" applyFill="1" applyBorder="1"/>
    <xf numFmtId="0" fontId="13" fillId="22" borderId="136" xfId="1" applyFont="1" applyFill="1" applyBorder="1"/>
    <xf numFmtId="0" fontId="18" fillId="21" borderId="55" xfId="708" applyFont="1" applyFill="1" applyBorder="1" applyAlignment="1" applyProtection="1">
      <alignment horizontal="center" wrapText="1"/>
    </xf>
    <xf numFmtId="0" fontId="19" fillId="21" borderId="56" xfId="704" applyFont="1" applyFill="1" applyBorder="1" applyAlignment="1" applyProtection="1">
      <alignment horizontal="center" vertical="center"/>
    </xf>
    <xf numFmtId="0" fontId="19" fillId="21" borderId="56" xfId="704" applyFont="1" applyFill="1" applyBorder="1" applyAlignment="1" applyProtection="1">
      <alignment horizontal="left" vertical="center"/>
    </xf>
    <xf numFmtId="0" fontId="20" fillId="21" borderId="56" xfId="704" applyFont="1" applyFill="1" applyBorder="1" applyAlignment="1" applyProtection="1">
      <alignment horizontal="center" vertical="center" wrapText="1"/>
    </xf>
    <xf numFmtId="0" fontId="20" fillId="21" borderId="57" xfId="704" applyFont="1" applyFill="1" applyBorder="1" applyAlignment="1" applyProtection="1">
      <alignment horizontal="center" vertical="center" wrapText="1"/>
    </xf>
    <xf numFmtId="0" fontId="3" fillId="22" borderId="61" xfId="8" applyFill="1" applyBorder="1" applyAlignment="1">
      <alignment horizontal="center" vertical="center" wrapText="1"/>
    </xf>
    <xf numFmtId="0" fontId="3" fillId="22" borderId="136" xfId="1" applyFill="1" applyBorder="1"/>
    <xf numFmtId="0" fontId="5" fillId="22" borderId="18" xfId="1" quotePrefix="1" applyFont="1" applyFill="1" applyBorder="1" applyAlignment="1" applyProtection="1">
      <alignment vertical="center"/>
    </xf>
    <xf numFmtId="0" fontId="17" fillId="22" borderId="19" xfId="1" quotePrefix="1" applyFont="1" applyFill="1" applyBorder="1" applyAlignment="1" applyProtection="1">
      <alignment vertical="center"/>
    </xf>
    <xf numFmtId="49" fontId="10" fillId="22" borderId="7" xfId="1" quotePrefix="1" applyNumberFormat="1" applyFont="1" applyFill="1" applyBorder="1" applyProtection="1"/>
    <xf numFmtId="0" fontId="18" fillId="21" borderId="55" xfId="708" applyNumberFormat="1" applyFont="1" applyFill="1" applyBorder="1" applyAlignment="1" applyProtection="1">
      <alignment horizontal="center" wrapText="1"/>
    </xf>
    <xf numFmtId="49" fontId="5" fillId="22" borderId="159" xfId="1" applyNumberFormat="1" applyFont="1" applyFill="1" applyBorder="1" applyProtection="1"/>
    <xf numFmtId="49" fontId="10" fillId="22" borderId="159" xfId="1" applyNumberFormat="1" applyFont="1" applyFill="1" applyBorder="1" applyProtection="1"/>
    <xf numFmtId="0" fontId="3" fillId="22" borderId="5" xfId="1" applyFill="1" applyBorder="1"/>
    <xf numFmtId="0" fontId="5" fillId="22" borderId="29" xfId="1" quotePrefix="1" applyFont="1" applyFill="1" applyBorder="1" applyAlignment="1" applyProtection="1">
      <alignment vertical="center"/>
    </xf>
    <xf numFmtId="0" fontId="17" fillId="22" borderId="30" xfId="1" quotePrefix="1" applyFont="1" applyFill="1" applyBorder="1" applyAlignment="1" applyProtection="1">
      <alignment vertical="center"/>
    </xf>
    <xf numFmtId="0" fontId="3" fillId="22" borderId="30" xfId="1" applyFill="1" applyBorder="1"/>
    <xf numFmtId="0" fontId="3" fillId="22" borderId="145" xfId="1" applyFill="1" applyBorder="1"/>
    <xf numFmtId="0" fontId="1" fillId="0" borderId="0" xfId="704" applyFont="1" applyAlignment="1">
      <alignment horizontal="left" indent="2"/>
    </xf>
    <xf numFmtId="0" fontId="3" fillId="22" borderId="72" xfId="8" applyFill="1" applyBorder="1" applyAlignment="1">
      <alignment horizontal="center" vertical="center" wrapText="1"/>
    </xf>
    <xf numFmtId="0" fontId="1" fillId="0" borderId="0" xfId="704" applyFont="1" applyAlignment="1">
      <alignment horizontal="left" indent="3"/>
    </xf>
    <xf numFmtId="0" fontId="1" fillId="0" borderId="51" xfId="704" applyBorder="1"/>
    <xf numFmtId="0" fontId="1" fillId="0" borderId="0" xfId="704" applyFont="1" applyAlignment="1">
      <alignment horizontal="left" indent="4"/>
    </xf>
    <xf numFmtId="0" fontId="2" fillId="24" borderId="79" xfId="707" applyFont="1" applyFill="1" applyBorder="1" applyAlignment="1">
      <alignment vertical="center"/>
    </xf>
    <xf numFmtId="0" fontId="8" fillId="17" borderId="80" xfId="1" applyFont="1" applyFill="1" applyBorder="1" applyAlignment="1">
      <alignment horizontal="center" vertical="center" wrapText="1"/>
    </xf>
    <xf numFmtId="0" fontId="8" fillId="17" borderId="76" xfId="1" applyFont="1" applyFill="1" applyBorder="1" applyAlignment="1">
      <alignment horizontal="center" vertical="center" wrapText="1"/>
    </xf>
    <xf numFmtId="0" fontId="8" fillId="17" borderId="81" xfId="1" applyFont="1" applyFill="1" applyBorder="1" applyAlignment="1">
      <alignment horizontal="center" vertical="center" wrapText="1"/>
    </xf>
    <xf numFmtId="0" fontId="1" fillId="0" borderId="189" xfId="704" applyBorder="1"/>
    <xf numFmtId="0" fontId="99" fillId="6" borderId="0" xfId="1" applyFont="1" applyFill="1" applyProtection="1"/>
    <xf numFmtId="0" fontId="100" fillId="0" borderId="0" xfId="704" applyFont="1"/>
    <xf numFmtId="0" fontId="101" fillId="0" borderId="0" xfId="1" applyFont="1"/>
    <xf numFmtId="0" fontId="101" fillId="0" borderId="0" xfId="2" applyFont="1"/>
    <xf numFmtId="0" fontId="4" fillId="19" borderId="4" xfId="1" applyFont="1" applyFill="1" applyBorder="1" applyAlignment="1" applyProtection="1">
      <alignment horizontal="center" vertical="center" wrapText="1"/>
    </xf>
    <xf numFmtId="0" fontId="16" fillId="0" borderId="212" xfId="704" applyFont="1" applyBorder="1"/>
    <xf numFmtId="0" fontId="3" fillId="30" borderId="47" xfId="709" applyFont="1" applyFill="1" applyBorder="1" applyAlignment="1"/>
    <xf numFmtId="0" fontId="0" fillId="0" borderId="16" xfId="0" applyBorder="1" applyProtection="1">
      <protection locked="0"/>
    </xf>
    <xf numFmtId="0" fontId="3" fillId="0" borderId="47" xfId="1" applyBorder="1" applyAlignment="1">
      <alignment vertical="center"/>
    </xf>
    <xf numFmtId="0" fontId="16" fillId="0" borderId="213" xfId="704" applyFont="1" applyBorder="1"/>
    <xf numFmtId="0" fontId="3" fillId="30" borderId="54" xfId="709" applyFont="1" applyFill="1" applyBorder="1" applyAlignment="1"/>
    <xf numFmtId="0" fontId="0" fillId="0" borderId="21" xfId="0" applyBorder="1" applyProtection="1">
      <protection locked="0"/>
    </xf>
    <xf numFmtId="0" fontId="3" fillId="0" borderId="54" xfId="1" applyBorder="1"/>
    <xf numFmtId="0" fontId="0" fillId="0" borderId="31" xfId="0" applyBorder="1" applyProtection="1">
      <protection locked="0"/>
    </xf>
    <xf numFmtId="0" fontId="3" fillId="30" borderId="62" xfId="709" applyFont="1" applyFill="1" applyBorder="1" applyAlignment="1"/>
    <xf numFmtId="0" fontId="16" fillId="0" borderId="54" xfId="704" applyFont="1" applyBorder="1"/>
    <xf numFmtId="0" fontId="3" fillId="0" borderId="0" xfId="1" quotePrefix="1"/>
    <xf numFmtId="0" fontId="3" fillId="0" borderId="62" xfId="1" applyBorder="1"/>
    <xf numFmtId="0" fontId="16" fillId="0" borderId="62" xfId="704" applyFont="1" applyBorder="1"/>
    <xf numFmtId="0" fontId="16" fillId="0" borderId="0" xfId="704" applyFont="1"/>
    <xf numFmtId="0" fontId="90" fillId="0" borderId="92" xfId="1" applyFont="1" applyBorder="1" applyAlignment="1">
      <alignment horizontal="left" vertical="top" indent="2"/>
    </xf>
    <xf numFmtId="1" fontId="4" fillId="6" borderId="0" xfId="1" applyNumberFormat="1" applyFont="1" applyFill="1" applyProtection="1"/>
    <xf numFmtId="0" fontId="8" fillId="0" borderId="0" xfId="1" applyFont="1"/>
    <xf numFmtId="49" fontId="1" fillId="0" borderId="108" xfId="704" applyNumberFormat="1" applyBorder="1"/>
    <xf numFmtId="0" fontId="1" fillId="0" borderId="0" xfId="704" applyBorder="1"/>
    <xf numFmtId="0" fontId="1" fillId="0" borderId="143" xfId="704" applyBorder="1"/>
    <xf numFmtId="0" fontId="8" fillId="81" borderId="1" xfId="1" applyFont="1" applyFill="1" applyBorder="1" applyAlignment="1">
      <alignment vertical="center"/>
    </xf>
    <xf numFmtId="0" fontId="8" fillId="81" borderId="2" xfId="1" applyFont="1" applyFill="1" applyBorder="1" applyAlignment="1">
      <alignment vertical="center"/>
    </xf>
    <xf numFmtId="0" fontId="8" fillId="81" borderId="34" xfId="1" applyFont="1" applyFill="1" applyBorder="1" applyAlignment="1">
      <alignment vertical="center"/>
    </xf>
    <xf numFmtId="0" fontId="8" fillId="81" borderId="35" xfId="1" applyFont="1" applyFill="1" applyBorder="1" applyAlignment="1">
      <alignment vertical="center"/>
    </xf>
    <xf numFmtId="0" fontId="3" fillId="0" borderId="7" xfId="1" applyBorder="1" applyAlignment="1">
      <alignment vertical="center"/>
    </xf>
    <xf numFmtId="0" fontId="8" fillId="0" borderId="1" xfId="1" applyFont="1" applyBorder="1" applyAlignment="1"/>
    <xf numFmtId="0" fontId="8" fillId="0" borderId="2" xfId="1" applyFont="1" applyBorder="1" applyAlignment="1">
      <alignment vertical="center"/>
    </xf>
    <xf numFmtId="0" fontId="3" fillId="18" borderId="2" xfId="8" applyFont="1" applyBorder="1" applyAlignment="1">
      <alignment horizontal="left" indent="3"/>
    </xf>
    <xf numFmtId="0" fontId="3" fillId="0" borderId="2" xfId="1" applyBorder="1" applyAlignment="1">
      <alignment vertical="center"/>
    </xf>
    <xf numFmtId="0" fontId="3" fillId="0" borderId="8" xfId="1" applyBorder="1" applyAlignment="1">
      <alignment vertical="center"/>
    </xf>
    <xf numFmtId="0" fontId="102" fillId="18" borderId="0" xfId="8" applyFont="1"/>
    <xf numFmtId="0" fontId="103" fillId="0" borderId="0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3" fontId="8" fillId="19" borderId="157" xfId="115" applyNumberFormat="1" applyFont="1" applyFill="1" applyBorder="1" applyAlignment="1" applyProtection="1">
      <alignment horizontal="center" vertical="center" wrapText="1"/>
    </xf>
    <xf numFmtId="3" fontId="8" fillId="19" borderId="214" xfId="115" applyNumberFormat="1" applyFont="1" applyFill="1" applyBorder="1" applyAlignment="1" applyProtection="1">
      <alignment horizontal="center" vertical="center" wrapText="1"/>
      <protection locked="0"/>
    </xf>
    <xf numFmtId="190" fontId="8" fillId="19" borderId="214" xfId="11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Border="1" applyAlignment="1">
      <alignment vertical="center"/>
    </xf>
    <xf numFmtId="0" fontId="8" fillId="0" borderId="1" xfId="1" applyFont="1" applyBorder="1" applyAlignment="1">
      <alignment vertical="center"/>
    </xf>
    <xf numFmtId="0" fontId="3" fillId="0" borderId="3" xfId="1" applyBorder="1" applyAlignment="1">
      <alignment vertical="center"/>
    </xf>
    <xf numFmtId="0" fontId="9" fillId="13" borderId="157" xfId="8" applyFont="1" applyFill="1" applyBorder="1" applyAlignment="1" applyProtection="1">
      <alignment horizontal="center" vertical="center" wrapText="1"/>
    </xf>
    <xf numFmtId="0" fontId="8" fillId="13" borderId="215" xfId="8" applyFont="1" applyFill="1" applyBorder="1" applyAlignment="1" applyProtection="1">
      <alignment horizontal="center" vertical="center" wrapText="1"/>
    </xf>
    <xf numFmtId="14" fontId="3" fillId="13" borderId="11" xfId="1" applyNumberFormat="1" applyFill="1" applyBorder="1" applyAlignment="1">
      <alignment horizontal="center" vertical="center"/>
    </xf>
    <xf numFmtId="0" fontId="3" fillId="0" borderId="162" xfId="1" applyBorder="1" applyAlignment="1">
      <alignment vertical="center"/>
    </xf>
    <xf numFmtId="0" fontId="102" fillId="0" borderId="0" xfId="0" applyFont="1"/>
    <xf numFmtId="191" fontId="87" fillId="6" borderId="102" xfId="1" applyNumberFormat="1" applyFont="1" applyFill="1" applyBorder="1"/>
    <xf numFmtId="191" fontId="87" fillId="6" borderId="216" xfId="1" applyNumberFormat="1" applyFont="1" applyFill="1" applyBorder="1"/>
    <xf numFmtId="0" fontId="3" fillId="0" borderId="198" xfId="1" applyBorder="1"/>
    <xf numFmtId="0" fontId="90" fillId="0" borderId="0" xfId="1" applyFont="1"/>
    <xf numFmtId="0" fontId="3" fillId="18" borderId="0" xfId="8" applyBorder="1"/>
    <xf numFmtId="0" fontId="3" fillId="18" borderId="0" xfId="8"/>
    <xf numFmtId="0" fontId="104" fillId="18" borderId="217" xfId="8" applyFont="1" applyBorder="1" applyAlignment="1">
      <alignment horizontal="right"/>
    </xf>
    <xf numFmtId="191" fontId="8" fillId="13" borderId="218" xfId="381" applyNumberFormat="1" applyFont="1" applyFill="1" applyBorder="1" applyAlignment="1">
      <alignment horizontal="center" vertical="center" wrapText="1"/>
    </xf>
    <xf numFmtId="191" fontId="8" fillId="12" borderId="218" xfId="381" applyNumberFormat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right" vertical="center"/>
    </xf>
    <xf numFmtId="0" fontId="3" fillId="30" borderId="0" xfId="8" applyFont="1" applyFill="1" applyBorder="1" applyAlignment="1">
      <alignment vertical="top"/>
    </xf>
    <xf numFmtId="0" fontId="105" fillId="0" borderId="7" xfId="1" applyFont="1" applyBorder="1" applyAlignment="1">
      <alignment horizontal="right" vertical="center"/>
    </xf>
    <xf numFmtId="191" fontId="8" fillId="12" borderId="102" xfId="381" applyNumberFormat="1" applyFont="1" applyFill="1" applyBorder="1" applyAlignment="1">
      <alignment horizontal="center" vertical="center" wrapText="1"/>
    </xf>
    <xf numFmtId="191" fontId="8" fillId="12" borderId="216" xfId="381" applyNumberFormat="1" applyFont="1" applyFill="1" applyBorder="1" applyAlignment="1">
      <alignment horizontal="center" vertical="center" wrapText="1"/>
    </xf>
    <xf numFmtId="191" fontId="8" fillId="12" borderId="198" xfId="381" applyNumberFormat="1" applyFont="1" applyFill="1" applyBorder="1" applyAlignment="1">
      <alignment horizontal="center" vertical="center" wrapText="1"/>
    </xf>
    <xf numFmtId="0" fontId="3" fillId="30" borderId="0" xfId="8" applyFont="1" applyFill="1" applyBorder="1"/>
    <xf numFmtId="0" fontId="3" fillId="0" borderId="8" xfId="1" applyBorder="1"/>
    <xf numFmtId="0" fontId="106" fillId="30" borderId="0" xfId="8" applyFont="1" applyFill="1" applyBorder="1"/>
    <xf numFmtId="0" fontId="3" fillId="18" borderId="0" xfId="8" quotePrefix="1" applyFont="1"/>
    <xf numFmtId="0" fontId="3" fillId="18" borderId="0" xfId="8" applyAlignment="1">
      <alignment horizontal="right" indent="1"/>
    </xf>
    <xf numFmtId="0" fontId="103" fillId="0" borderId="7" xfId="1" applyFont="1" applyBorder="1" applyAlignment="1">
      <alignment vertical="center"/>
    </xf>
    <xf numFmtId="14" fontId="8" fillId="13" borderId="11" xfId="1" applyNumberFormat="1" applyFont="1" applyFill="1" applyBorder="1" applyAlignment="1">
      <alignment vertical="center"/>
    </xf>
    <xf numFmtId="0" fontId="103" fillId="0" borderId="0" xfId="1" applyFont="1" applyBorder="1" applyAlignment="1">
      <alignment horizontal="right" vertical="center" indent="1"/>
    </xf>
    <xf numFmtId="0" fontId="8" fillId="12" borderId="157" xfId="8" applyFont="1" applyFill="1" applyBorder="1" applyAlignment="1">
      <alignment horizontal="center" vertical="center" wrapText="1"/>
    </xf>
    <xf numFmtId="0" fontId="8" fillId="13" borderId="219" xfId="8" applyFont="1" applyFill="1" applyBorder="1" applyAlignment="1">
      <alignment horizontal="center" vertical="center" wrapText="1"/>
    </xf>
    <xf numFmtId="0" fontId="107" fillId="0" borderId="0" xfId="1" applyFont="1"/>
    <xf numFmtId="0" fontId="3" fillId="18" borderId="0" xfId="381"/>
    <xf numFmtId="0" fontId="108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horizontal="center" vertical="top"/>
    </xf>
    <xf numFmtId="0" fontId="3" fillId="0" borderId="5" xfId="1" applyBorder="1" applyAlignment="1">
      <alignment vertical="center"/>
    </xf>
    <xf numFmtId="0" fontId="3" fillId="0" borderId="5" xfId="1" applyBorder="1"/>
    <xf numFmtId="0" fontId="3" fillId="6" borderId="0" xfId="369" applyFill="1" applyProtection="1"/>
    <xf numFmtId="0" fontId="3" fillId="0" borderId="0" xfId="369"/>
    <xf numFmtId="0" fontId="109" fillId="6" borderId="0" xfId="369" applyFont="1" applyFill="1" applyProtection="1"/>
    <xf numFmtId="0" fontId="3" fillId="6" borderId="0" xfId="369" applyFill="1"/>
    <xf numFmtId="0" fontId="3" fillId="6" borderId="7" xfId="369" applyFill="1" applyBorder="1"/>
    <xf numFmtId="0" fontId="8" fillId="0" borderId="0" xfId="369" applyFont="1" applyFill="1" applyAlignment="1" applyProtection="1">
      <alignment vertical="center" wrapText="1"/>
    </xf>
    <xf numFmtId="0" fontId="88" fillId="19" borderId="33" xfId="369" applyFont="1" applyFill="1" applyBorder="1" applyAlignment="1" applyProtection="1">
      <alignment horizontal="left" vertical="center"/>
      <protection locked="0"/>
    </xf>
    <xf numFmtId="2" fontId="8" fillId="78" borderId="187" xfId="369" applyNumberFormat="1" applyFont="1" applyFill="1" applyBorder="1" applyAlignment="1" applyProtection="1">
      <alignment horizontal="right"/>
    </xf>
    <xf numFmtId="2" fontId="8" fillId="78" borderId="34" xfId="369" applyNumberFormat="1" applyFont="1" applyFill="1" applyBorder="1" applyAlignment="1" applyProtection="1">
      <alignment horizontal="right"/>
    </xf>
    <xf numFmtId="0" fontId="93" fillId="78" borderId="34" xfId="369" applyFont="1" applyFill="1" applyBorder="1" applyAlignment="1" applyProtection="1">
      <alignment vertical="center"/>
    </xf>
    <xf numFmtId="0" fontId="93" fillId="78" borderId="33" xfId="369" applyFont="1" applyFill="1" applyBorder="1" applyAlignment="1" applyProtection="1">
      <alignment vertical="center"/>
    </xf>
    <xf numFmtId="0" fontId="5" fillId="0" borderId="0" xfId="369" applyFont="1" applyAlignment="1" applyProtection="1">
      <alignment horizontal="left"/>
    </xf>
    <xf numFmtId="0" fontId="3" fillId="0" borderId="0" xfId="369" applyFill="1" applyBorder="1" applyProtection="1"/>
    <xf numFmtId="188" fontId="8" fillId="6" borderId="2" xfId="369" applyNumberFormat="1" applyFont="1" applyFill="1" applyBorder="1" applyAlignment="1" applyProtection="1">
      <alignment horizontal="right" vertical="center"/>
    </xf>
    <xf numFmtId="0" fontId="8" fillId="6" borderId="0" xfId="369" applyFont="1" applyFill="1" applyBorder="1" applyAlignment="1" applyProtection="1">
      <alignment horizontal="left" wrapText="1"/>
    </xf>
    <xf numFmtId="0" fontId="5" fillId="0" borderId="0" xfId="369" applyFont="1" applyAlignment="1" applyProtection="1">
      <alignment horizontal="left" wrapText="1"/>
    </xf>
    <xf numFmtId="188" fontId="93" fillId="78" borderId="35" xfId="369" applyNumberFormat="1" applyFont="1" applyFill="1" applyBorder="1" applyAlignment="1" applyProtection="1">
      <alignment horizontal="right"/>
    </xf>
    <xf numFmtId="188" fontId="93" fillId="78" borderId="34" xfId="369" applyNumberFormat="1" applyFont="1" applyFill="1" applyBorder="1" applyAlignment="1" applyProtection="1">
      <alignment horizontal="right"/>
    </xf>
    <xf numFmtId="0" fontId="93" fillId="78" borderId="34" xfId="369" applyFont="1" applyFill="1" applyBorder="1" applyAlignment="1" applyProtection="1">
      <alignment wrapText="1"/>
    </xf>
    <xf numFmtId="188" fontId="3" fillId="58" borderId="139" xfId="369" applyNumberFormat="1" applyFont="1" applyFill="1" applyBorder="1" applyAlignment="1" applyProtection="1">
      <alignment horizontal="right"/>
    </xf>
    <xf numFmtId="188" fontId="3" fillId="58" borderId="162" xfId="369" applyNumberFormat="1" applyFont="1" applyFill="1" applyBorder="1" applyAlignment="1" applyProtection="1">
      <alignment horizontal="left" vertical="center"/>
    </xf>
    <xf numFmtId="188" fontId="3" fillId="58" borderId="5" xfId="369" applyNumberFormat="1" applyFont="1" applyFill="1" applyBorder="1" applyAlignment="1" applyProtection="1">
      <alignment horizontal="right" vertical="center"/>
    </xf>
    <xf numFmtId="0" fontId="3" fillId="5" borderId="159" xfId="369" applyFont="1" applyFill="1" applyBorder="1" applyAlignment="1" applyProtection="1">
      <alignment horizontal="right" indent="2"/>
    </xf>
    <xf numFmtId="0" fontId="3" fillId="6" borderId="32" xfId="369" applyFont="1" applyFill="1" applyBorder="1" applyAlignment="1" applyProtection="1">
      <alignment horizontal="right" indent="2"/>
    </xf>
    <xf numFmtId="188" fontId="3" fillId="58" borderId="6" xfId="369" applyNumberFormat="1" applyFont="1" applyFill="1" applyBorder="1" applyAlignment="1" applyProtection="1">
      <alignment horizontal="right"/>
    </xf>
    <xf numFmtId="188" fontId="3" fillId="58" borderId="139" xfId="369" applyNumberFormat="1" applyFont="1" applyFill="1" applyBorder="1" applyAlignment="1" applyProtection="1">
      <alignment horizontal="right" vertical="center"/>
    </xf>
    <xf numFmtId="188" fontId="3" fillId="58" borderId="0" xfId="369" applyNumberFormat="1" applyFont="1" applyFill="1" applyBorder="1" applyAlignment="1" applyProtection="1">
      <alignment horizontal="left" vertical="center"/>
    </xf>
    <xf numFmtId="188" fontId="3" fillId="58" borderId="0" xfId="369" applyNumberFormat="1" applyFont="1" applyFill="1" applyBorder="1" applyAlignment="1" applyProtection="1">
      <alignment horizontal="right" vertical="center"/>
    </xf>
    <xf numFmtId="0" fontId="3" fillId="5" borderId="7" xfId="369" applyFont="1" applyFill="1" applyBorder="1" applyAlignment="1" applyProtection="1">
      <alignment horizontal="right" indent="2"/>
    </xf>
    <xf numFmtId="0" fontId="3" fillId="6" borderId="24" xfId="369" applyFont="1" applyFill="1" applyBorder="1" applyAlignment="1" applyProtection="1">
      <alignment horizontal="right" indent="2"/>
    </xf>
    <xf numFmtId="0" fontId="5" fillId="6" borderId="0" xfId="369" applyFont="1" applyFill="1" applyProtection="1"/>
    <xf numFmtId="188" fontId="3" fillId="58" borderId="8" xfId="369" applyNumberFormat="1" applyFont="1" applyFill="1" applyBorder="1" applyAlignment="1" applyProtection="1">
      <alignment horizontal="right" vertical="center"/>
    </xf>
    <xf numFmtId="188" fontId="3" fillId="58" borderId="159" xfId="369" applyNumberFormat="1" applyFont="1" applyFill="1" applyBorder="1" applyAlignment="1" applyProtection="1">
      <alignment horizontal="right" vertical="center"/>
    </xf>
    <xf numFmtId="188" fontId="3" fillId="58" borderId="3" xfId="369" applyNumberFormat="1" applyFont="1" applyFill="1" applyBorder="1" applyAlignment="1" applyProtection="1">
      <alignment horizontal="right" vertical="center"/>
    </xf>
    <xf numFmtId="188" fontId="3" fillId="58" borderId="2" xfId="369" applyNumberFormat="1" applyFont="1" applyFill="1" applyBorder="1" applyAlignment="1" applyProtection="1">
      <alignment horizontal="right" vertical="center"/>
    </xf>
    <xf numFmtId="188" fontId="3" fillId="58" borderId="33" xfId="369" applyNumberFormat="1" applyFont="1" applyFill="1" applyBorder="1" applyAlignment="1" applyProtection="1">
      <alignment horizontal="right" vertical="center"/>
    </xf>
    <xf numFmtId="0" fontId="3" fillId="5" borderId="4" xfId="369" applyFont="1" applyFill="1" applyBorder="1" applyAlignment="1" applyProtection="1">
      <alignment horizontal="right" indent="2"/>
    </xf>
    <xf numFmtId="0" fontId="3" fillId="6" borderId="17" xfId="369" applyFont="1" applyFill="1" applyBorder="1" applyAlignment="1" applyProtection="1">
      <alignment horizontal="right" indent="2"/>
    </xf>
    <xf numFmtId="0" fontId="3" fillId="0" borderId="0" xfId="369" applyFill="1" applyProtection="1">
      <protection locked="0"/>
    </xf>
    <xf numFmtId="0" fontId="75" fillId="5" borderId="6" xfId="369" applyFont="1" applyFill="1" applyBorder="1" applyAlignment="1" applyProtection="1">
      <alignment horizontal="left" vertical="center"/>
    </xf>
    <xf numFmtId="0" fontId="8" fillId="77" borderId="178" xfId="369" applyFont="1" applyFill="1" applyBorder="1" applyAlignment="1" applyProtection="1">
      <alignment horizontal="right" vertical="center"/>
    </xf>
    <xf numFmtId="0" fontId="8" fillId="77" borderId="177" xfId="369" applyFont="1" applyFill="1" applyBorder="1" applyAlignment="1" applyProtection="1">
      <alignment horizontal="right" vertical="center"/>
    </xf>
    <xf numFmtId="0" fontId="8" fillId="77" borderId="176" xfId="369" applyFont="1" applyFill="1" applyBorder="1" applyAlignment="1" applyProtection="1">
      <alignment horizontal="right" vertical="center"/>
    </xf>
    <xf numFmtId="0" fontId="8" fillId="7" borderId="178" xfId="369" applyFont="1" applyFill="1" applyBorder="1" applyAlignment="1" applyProtection="1">
      <alignment horizontal="right" vertical="center"/>
    </xf>
    <xf numFmtId="0" fontId="8" fillId="7" borderId="177" xfId="369" applyFont="1" applyFill="1" applyBorder="1" applyAlignment="1" applyProtection="1">
      <alignment horizontal="right" vertical="center"/>
    </xf>
    <xf numFmtId="0" fontId="8" fillId="7" borderId="176" xfId="369" applyFont="1" applyFill="1" applyBorder="1" applyAlignment="1" applyProtection="1">
      <alignment horizontal="right" vertical="center"/>
    </xf>
    <xf numFmtId="0" fontId="5" fillId="6" borderId="0" xfId="369" applyFont="1" applyFill="1" applyBorder="1" applyProtection="1">
      <protection locked="0"/>
    </xf>
    <xf numFmtId="0" fontId="5" fillId="6" borderId="0" xfId="369" applyFont="1" applyFill="1" applyAlignment="1" applyProtection="1">
      <alignment horizontal="right"/>
      <protection locked="0"/>
    </xf>
    <xf numFmtId="0" fontId="5" fillId="6" borderId="0" xfId="369" applyFont="1" applyFill="1"/>
    <xf numFmtId="0" fontId="75" fillId="5" borderId="11" xfId="369" applyFont="1" applyFill="1" applyBorder="1" applyAlignment="1" applyProtection="1">
      <alignment horizontal="left" vertical="center"/>
    </xf>
    <xf numFmtId="0" fontId="3" fillId="6" borderId="0" xfId="369" applyFill="1" applyBorder="1" applyProtection="1"/>
    <xf numFmtId="0" fontId="8" fillId="5" borderId="35" xfId="369" applyFont="1" applyFill="1" applyBorder="1" applyAlignment="1" applyProtection="1">
      <alignment horizontal="left" vertical="center"/>
    </xf>
    <xf numFmtId="0" fontId="8" fillId="5" borderId="34" xfId="369" applyFont="1" applyFill="1" applyBorder="1" applyAlignment="1" applyProtection="1">
      <alignment horizontal="left" vertical="center"/>
    </xf>
    <xf numFmtId="0" fontId="75" fillId="5" borderId="33" xfId="369" applyFont="1" applyFill="1" applyBorder="1" applyAlignment="1" applyProtection="1">
      <alignment horizontal="left" vertical="center"/>
    </xf>
    <xf numFmtId="0" fontId="8" fillId="0" borderId="0" xfId="369" applyFont="1" applyFill="1" applyBorder="1" applyAlignment="1" applyProtection="1">
      <alignment horizontal="left"/>
    </xf>
    <xf numFmtId="0" fontId="3" fillId="0" borderId="0" xfId="369" applyFill="1" applyProtection="1"/>
    <xf numFmtId="188" fontId="3" fillId="6" borderId="0" xfId="369" applyNumberFormat="1" applyFont="1" applyFill="1" applyBorder="1" applyAlignment="1" applyProtection="1">
      <alignment horizontal="right" vertical="center"/>
    </xf>
    <xf numFmtId="168" fontId="3" fillId="58" borderId="162" xfId="369" applyNumberFormat="1" applyFont="1" applyFill="1" applyBorder="1" applyAlignment="1" applyProtection="1">
      <alignment horizontal="left"/>
    </xf>
    <xf numFmtId="168" fontId="3" fillId="58" borderId="5" xfId="369" applyNumberFormat="1" applyFont="1" applyFill="1" applyBorder="1" applyAlignment="1" applyProtection="1">
      <alignment horizontal="left"/>
    </xf>
    <xf numFmtId="0" fontId="3" fillId="6" borderId="0" xfId="369" applyFill="1" applyProtection="1">
      <protection locked="0"/>
    </xf>
    <xf numFmtId="168" fontId="3" fillId="58" borderId="8" xfId="369" applyNumberFormat="1" applyFont="1" applyFill="1" applyBorder="1" applyAlignment="1" applyProtection="1">
      <alignment horizontal="left"/>
    </xf>
    <xf numFmtId="168" fontId="3" fillId="58" borderId="0" xfId="369" applyNumberFormat="1" applyFont="1" applyFill="1" applyBorder="1" applyAlignment="1" applyProtection="1">
      <alignment horizontal="left"/>
    </xf>
    <xf numFmtId="0" fontId="8" fillId="5" borderId="8" xfId="369" applyFont="1" applyFill="1" applyBorder="1" applyAlignment="1" applyProtection="1">
      <alignment horizontal="left" vertical="center"/>
    </xf>
    <xf numFmtId="0" fontId="8" fillId="5" borderId="0" xfId="369" applyFont="1" applyFill="1" applyBorder="1" applyAlignment="1" applyProtection="1">
      <alignment horizontal="left" vertical="center"/>
    </xf>
    <xf numFmtId="0" fontId="5" fillId="6" borderId="0" xfId="369" applyFont="1" applyFill="1" applyBorder="1" applyProtection="1"/>
    <xf numFmtId="0" fontId="5" fillId="6" borderId="34" xfId="369" applyFont="1" applyFill="1" applyBorder="1" applyProtection="1"/>
    <xf numFmtId="0" fontId="5" fillId="0" borderId="34" xfId="369" applyFont="1" applyFill="1" applyBorder="1" applyProtection="1"/>
    <xf numFmtId="0" fontId="5" fillId="6" borderId="2" xfId="369" applyFont="1" applyFill="1" applyBorder="1" applyProtection="1"/>
    <xf numFmtId="0" fontId="93" fillId="78" borderId="139" xfId="369" applyFont="1" applyFill="1" applyBorder="1" applyAlignment="1" applyProtection="1">
      <alignment vertical="center"/>
    </xf>
    <xf numFmtId="0" fontId="3" fillId="5" borderId="35" xfId="369" applyFont="1" applyFill="1" applyBorder="1" applyAlignment="1" applyProtection="1">
      <alignment horizontal="left" vertical="center" wrapText="1" indent="1"/>
    </xf>
    <xf numFmtId="0" fontId="3" fillId="5" borderId="33" xfId="369" applyFont="1" applyFill="1" applyBorder="1" applyAlignment="1" applyProtection="1">
      <alignment horizontal="left" vertical="center" wrapText="1" indent="1"/>
    </xf>
    <xf numFmtId="0" fontId="5" fillId="5" borderId="6" xfId="369" applyFont="1" applyFill="1" applyBorder="1"/>
    <xf numFmtId="2" fontId="8" fillId="5" borderId="139" xfId="369" applyNumberFormat="1" applyFont="1" applyFill="1" applyBorder="1" applyAlignment="1" applyProtection="1"/>
    <xf numFmtId="185" fontId="3" fillId="0" borderId="22" xfId="369" applyNumberFormat="1" applyFont="1" applyFill="1" applyBorder="1" applyAlignment="1">
      <alignment horizontal="right" wrapText="1"/>
    </xf>
    <xf numFmtId="2" fontId="8" fillId="5" borderId="6" xfId="369" applyNumberFormat="1" applyFont="1" applyFill="1" applyBorder="1" applyAlignment="1" applyProtection="1"/>
    <xf numFmtId="185" fontId="3" fillId="61" borderId="27" xfId="369" applyNumberFormat="1" applyFont="1" applyFill="1" applyBorder="1" applyAlignment="1" applyProtection="1">
      <alignment vertical="center" wrapText="1"/>
      <protection locked="0"/>
    </xf>
    <xf numFmtId="185" fontId="3" fillId="61" borderId="182" xfId="369" applyNumberFormat="1" applyFont="1" applyFill="1" applyBorder="1" applyAlignment="1" applyProtection="1">
      <alignment vertical="center" wrapText="1"/>
      <protection locked="0"/>
    </xf>
    <xf numFmtId="185" fontId="3" fillId="61" borderId="220" xfId="369" applyNumberFormat="1" applyFont="1" applyFill="1" applyBorder="1" applyAlignment="1" applyProtection="1">
      <alignment vertical="center" wrapText="1"/>
      <protection locked="0"/>
    </xf>
    <xf numFmtId="185" fontId="3" fillId="0" borderId="84" xfId="369" applyNumberFormat="1" applyFont="1" applyFill="1" applyBorder="1" applyAlignment="1">
      <alignment horizontal="right" wrapText="1"/>
    </xf>
    <xf numFmtId="185" fontId="3" fillId="61" borderId="223" xfId="369" applyNumberFormat="1" applyFont="1" applyFill="1" applyBorder="1" applyAlignment="1" applyProtection="1">
      <alignment vertical="center" wrapText="1"/>
      <protection locked="0"/>
    </xf>
    <xf numFmtId="185" fontId="3" fillId="61" borderId="174" xfId="369" applyNumberFormat="1" applyFont="1" applyFill="1" applyBorder="1" applyAlignment="1" applyProtection="1">
      <alignment vertical="center" wrapText="1"/>
      <protection locked="0"/>
    </xf>
    <xf numFmtId="185" fontId="3" fillId="61" borderId="23" xfId="369" applyNumberFormat="1" applyFont="1" applyFill="1" applyBorder="1" applyAlignment="1" applyProtection="1">
      <alignment vertical="center" wrapText="1"/>
      <protection locked="0"/>
    </xf>
    <xf numFmtId="0" fontId="3" fillId="0" borderId="25" xfId="369" applyFont="1" applyBorder="1" applyAlignment="1" applyProtection="1">
      <alignment horizontal="left" vertical="center" indent="3"/>
    </xf>
    <xf numFmtId="4" fontId="8" fillId="5" borderId="6" xfId="369" applyNumberFormat="1" applyFont="1" applyFill="1" applyBorder="1" applyAlignment="1" applyProtection="1">
      <alignment horizontal="right"/>
      <protection locked="0"/>
    </xf>
    <xf numFmtId="187" fontId="8" fillId="5" borderId="6" xfId="369" applyNumberFormat="1" applyFont="1" applyFill="1" applyBorder="1" applyAlignment="1" applyProtection="1">
      <alignment horizontal="right"/>
      <protection locked="0"/>
    </xf>
    <xf numFmtId="168" fontId="8" fillId="5" borderId="223" xfId="369" applyNumberFormat="1" applyFont="1" applyFill="1" applyBorder="1" applyAlignment="1" applyProtection="1">
      <alignment horizontal="left"/>
    </xf>
    <xf numFmtId="168" fontId="8" fillId="5" borderId="174" xfId="369" applyNumberFormat="1" applyFont="1" applyFill="1" applyBorder="1" applyAlignment="1" applyProtection="1">
      <alignment horizontal="left"/>
    </xf>
    <xf numFmtId="168" fontId="8" fillId="5" borderId="23" xfId="369" applyNumberFormat="1" applyFont="1" applyFill="1" applyBorder="1" applyAlignment="1" applyProtection="1">
      <alignment horizontal="left"/>
    </xf>
    <xf numFmtId="185" fontId="8" fillId="5" borderId="223" xfId="369" applyNumberFormat="1" applyFont="1" applyFill="1" applyBorder="1" applyAlignment="1" applyProtection="1"/>
    <xf numFmtId="185" fontId="8" fillId="5" borderId="174" xfId="369" applyNumberFormat="1" applyFont="1" applyFill="1" applyBorder="1" applyAlignment="1" applyProtection="1"/>
    <xf numFmtId="185" fontId="8" fillId="5" borderId="23" xfId="369" applyNumberFormat="1" applyFont="1" applyFill="1" applyBorder="1" applyAlignment="1" applyProtection="1"/>
    <xf numFmtId="0" fontId="8" fillId="5" borderId="84" xfId="369" applyFont="1" applyFill="1" applyBorder="1" applyAlignment="1" applyProtection="1">
      <alignment vertical="center"/>
    </xf>
    <xf numFmtId="0" fontId="90" fillId="5" borderId="25" xfId="369" applyFont="1" applyFill="1" applyBorder="1" applyAlignment="1" applyProtection="1">
      <alignment horizontal="left" vertical="center" wrapText="1" indent="1"/>
    </xf>
    <xf numFmtId="186" fontId="8" fillId="5" borderId="4" xfId="369" applyNumberFormat="1" applyFont="1" applyFill="1" applyBorder="1" applyAlignment="1" applyProtection="1">
      <alignment horizontal="left"/>
      <protection locked="0"/>
    </xf>
    <xf numFmtId="2" fontId="8" fillId="5" borderId="4" xfId="369" applyNumberFormat="1" applyFont="1" applyFill="1" applyBorder="1" applyAlignment="1" applyProtection="1"/>
    <xf numFmtId="185" fontId="3" fillId="0" borderId="82" xfId="369" applyNumberFormat="1" applyFont="1" applyFill="1" applyBorder="1" applyAlignment="1">
      <alignment horizontal="right" vertical="center" wrapText="1"/>
    </xf>
    <xf numFmtId="0" fontId="3" fillId="0" borderId="164" xfId="369" applyFont="1" applyBorder="1" applyAlignment="1" applyProtection="1">
      <alignment horizontal="left" vertical="center" wrapText="1" indent="1"/>
    </xf>
    <xf numFmtId="0" fontId="5" fillId="6" borderId="0" xfId="369" applyFont="1" applyFill="1" applyBorder="1" applyAlignment="1" applyProtection="1">
      <alignment horizontal="right"/>
      <protection locked="0"/>
    </xf>
    <xf numFmtId="0" fontId="8" fillId="0" borderId="162" xfId="369" applyFont="1" applyFill="1" applyBorder="1" applyAlignment="1" applyProtection="1">
      <alignment horizontal="right" vertical="center"/>
    </xf>
    <xf numFmtId="0" fontId="3" fillId="0" borderId="7" xfId="369" applyBorder="1"/>
    <xf numFmtId="0" fontId="8" fillId="0" borderId="8" xfId="369" applyFont="1" applyFill="1" applyBorder="1" applyAlignment="1" applyProtection="1">
      <alignment horizontal="center" vertical="center"/>
    </xf>
    <xf numFmtId="0" fontId="89" fillId="6" borderId="0" xfId="369" applyFont="1" applyFill="1" applyBorder="1" applyProtection="1"/>
    <xf numFmtId="0" fontId="88" fillId="6" borderId="0" xfId="369" applyFont="1" applyFill="1" applyBorder="1" applyAlignment="1" applyProtection="1">
      <alignment horizontal="left" vertical="center"/>
      <protection locked="0"/>
    </xf>
    <xf numFmtId="0" fontId="4" fillId="0" borderId="3" xfId="369" applyFont="1" applyFill="1" applyBorder="1" applyAlignment="1" applyProtection="1">
      <alignment horizontal="center"/>
    </xf>
    <xf numFmtId="0" fontId="88" fillId="19" borderId="35" xfId="369" applyFont="1" applyFill="1" applyBorder="1" applyAlignment="1" applyProtection="1">
      <alignment horizontal="left" vertical="center"/>
      <protection locked="0"/>
    </xf>
    <xf numFmtId="0" fontId="88" fillId="19" borderId="34" xfId="369" applyFont="1" applyFill="1" applyBorder="1" applyAlignment="1" applyProtection="1">
      <alignment horizontal="left" vertical="center"/>
      <protection locked="0"/>
    </xf>
    <xf numFmtId="0" fontId="3" fillId="0" borderId="0" xfId="369" applyFill="1" applyAlignment="1" applyProtection="1">
      <alignment horizontal="right"/>
    </xf>
    <xf numFmtId="168" fontId="92" fillId="0" borderId="8" xfId="369" applyNumberFormat="1" applyFont="1" applyFill="1" applyBorder="1" applyAlignment="1" applyProtection="1">
      <alignment horizontal="left"/>
    </xf>
    <xf numFmtId="168" fontId="92" fillId="0" borderId="0" xfId="369" applyNumberFormat="1" applyFont="1" applyFill="1" applyBorder="1" applyAlignment="1" applyProtection="1">
      <alignment horizontal="left"/>
    </xf>
    <xf numFmtId="0" fontId="90" fillId="0" borderId="0" xfId="369" applyFont="1" applyFill="1" applyBorder="1" applyAlignment="1" applyProtection="1">
      <alignment vertical="center"/>
    </xf>
    <xf numFmtId="0" fontId="3" fillId="0" borderId="5" xfId="369" applyBorder="1"/>
    <xf numFmtId="185" fontId="91" fillId="0" borderId="5" xfId="369" applyNumberFormat="1" applyFont="1" applyBorder="1" applyProtection="1"/>
    <xf numFmtId="185" fontId="91" fillId="0" borderId="0" xfId="369" applyNumberFormat="1" applyFont="1" applyBorder="1" applyProtection="1"/>
    <xf numFmtId="0" fontId="90" fillId="0" borderId="34" xfId="369" applyFont="1" applyFill="1" applyBorder="1" applyAlignment="1" applyProtection="1">
      <alignment vertical="center"/>
    </xf>
    <xf numFmtId="168" fontId="3" fillId="5" borderId="162" xfId="369" applyNumberFormat="1" applyFont="1" applyFill="1" applyBorder="1" applyAlignment="1" applyProtection="1">
      <alignment horizontal="left"/>
    </xf>
    <xf numFmtId="168" fontId="3" fillId="5" borderId="5" xfId="369" applyNumberFormat="1" applyFont="1" applyFill="1" applyBorder="1" applyAlignment="1" applyProtection="1">
      <alignment horizontal="left"/>
    </xf>
    <xf numFmtId="168" fontId="3" fillId="5" borderId="8" xfId="369" applyNumberFormat="1" applyFont="1" applyFill="1" applyBorder="1" applyAlignment="1" applyProtection="1">
      <alignment horizontal="left"/>
    </xf>
    <xf numFmtId="168" fontId="3" fillId="5" borderId="0" xfId="369" applyNumberFormat="1" applyFont="1" applyFill="1" applyBorder="1" applyAlignment="1" applyProtection="1">
      <alignment horizontal="left"/>
    </xf>
    <xf numFmtId="185" fontId="3" fillId="0" borderId="0" xfId="369" applyNumberFormat="1" applyFont="1" applyFill="1" applyBorder="1" applyAlignment="1">
      <alignment horizontal="right" wrapText="1"/>
    </xf>
    <xf numFmtId="168" fontId="8" fillId="19" borderId="175" xfId="369" applyNumberFormat="1" applyFont="1" applyFill="1" applyBorder="1" applyAlignment="1" applyProtection="1">
      <alignment horizontal="left"/>
      <protection locked="0"/>
    </xf>
    <xf numFmtId="168" fontId="8" fillId="19" borderId="174" xfId="369" applyNumberFormat="1" applyFont="1" applyFill="1" applyBorder="1" applyAlignment="1" applyProtection="1">
      <alignment horizontal="left"/>
      <protection locked="0"/>
    </xf>
    <xf numFmtId="168" fontId="8" fillId="19" borderId="23" xfId="369" applyNumberFormat="1" applyFont="1" applyFill="1" applyBorder="1" applyAlignment="1" applyProtection="1">
      <alignment horizontal="left"/>
      <protection locked="0"/>
    </xf>
    <xf numFmtId="0" fontId="8" fillId="5" borderId="175" xfId="369" applyFont="1" applyFill="1" applyBorder="1" applyAlignment="1" applyProtection="1">
      <alignment vertical="center"/>
    </xf>
    <xf numFmtId="0" fontId="8" fillId="5" borderId="174" xfId="369" applyFont="1" applyFill="1" applyBorder="1" applyAlignment="1" applyProtection="1">
      <alignment vertical="center"/>
    </xf>
    <xf numFmtId="0" fontId="8" fillId="5" borderId="23" xfId="369" applyFont="1" applyFill="1" applyBorder="1" applyAlignment="1" applyProtection="1">
      <alignment vertical="center"/>
    </xf>
    <xf numFmtId="0" fontId="8" fillId="77" borderId="85" xfId="369" applyFont="1" applyFill="1" applyBorder="1" applyAlignment="1" applyProtection="1">
      <alignment horizontal="right" vertical="center"/>
    </xf>
    <xf numFmtId="0" fontId="8" fillId="77" borderId="183" xfId="369" applyFont="1" applyFill="1" applyBorder="1" applyAlignment="1" applyProtection="1">
      <alignment horizontal="right" vertical="center"/>
    </xf>
    <xf numFmtId="0" fontId="8" fillId="77" borderId="169" xfId="369" applyFont="1" applyFill="1" applyBorder="1" applyAlignment="1" applyProtection="1">
      <alignment horizontal="right" vertical="center"/>
    </xf>
    <xf numFmtId="0" fontId="4" fillId="0" borderId="2" xfId="369" applyFont="1" applyFill="1" applyBorder="1" applyAlignment="1" applyProtection="1">
      <alignment horizontal="center"/>
    </xf>
    <xf numFmtId="0" fontId="110" fillId="6" borderId="1" xfId="369" applyFont="1" applyFill="1" applyBorder="1"/>
    <xf numFmtId="0" fontId="3" fillId="6" borderId="0" xfId="369" applyFill="1" applyAlignment="1">
      <alignment horizontal="left" vertical="top" wrapText="1"/>
    </xf>
    <xf numFmtId="0" fontId="94" fillId="6" borderId="0" xfId="369" applyFont="1" applyFill="1" applyBorder="1" applyProtection="1"/>
    <xf numFmtId="0" fontId="94" fillId="23" borderId="0" xfId="369" applyFont="1" applyFill="1" applyBorder="1" applyAlignment="1">
      <alignment vertical="center"/>
    </xf>
    <xf numFmtId="0" fontId="109" fillId="6" borderId="0" xfId="369" applyFont="1" applyFill="1" applyBorder="1" applyProtection="1">
      <protection locked="0"/>
    </xf>
    <xf numFmtId="192" fontId="3" fillId="6" borderId="224" xfId="369" applyNumberFormat="1" applyFont="1" applyFill="1" applyBorder="1" applyAlignment="1" applyProtection="1">
      <alignment horizontal="right" vertical="center" wrapText="1"/>
    </xf>
    <xf numFmtId="0" fontId="3" fillId="0" borderId="32" xfId="369" applyFont="1" applyBorder="1" applyAlignment="1" applyProtection="1">
      <alignment horizontal="left" vertical="center" indent="1"/>
    </xf>
    <xf numFmtId="2" fontId="3" fillId="6" borderId="0" xfId="369" applyNumberFormat="1" applyFont="1" applyFill="1" applyBorder="1" applyAlignment="1" applyProtection="1">
      <alignment horizontal="right" vertical="center" wrapText="1"/>
    </xf>
    <xf numFmtId="193" fontId="3" fillId="6" borderId="0" xfId="369" applyNumberFormat="1" applyFill="1" applyBorder="1" applyProtection="1"/>
    <xf numFmtId="10" fontId="3" fillId="6" borderId="227" xfId="369" applyNumberFormat="1" applyFont="1" applyFill="1" applyBorder="1" applyAlignment="1" applyProtection="1">
      <alignment horizontal="right" vertical="center" wrapText="1"/>
    </xf>
    <xf numFmtId="0" fontId="3" fillId="0" borderId="24" xfId="369" applyFont="1" applyBorder="1" applyAlignment="1" applyProtection="1">
      <alignment horizontal="left" vertical="center" indent="1"/>
    </xf>
    <xf numFmtId="0" fontId="109" fillId="6" borderId="0" xfId="369" applyFont="1" applyFill="1" applyBorder="1" applyProtection="1"/>
    <xf numFmtId="185" fontId="3" fillId="0" borderId="166" xfId="369" applyNumberFormat="1" applyFont="1" applyFill="1" applyBorder="1" applyAlignment="1" applyProtection="1">
      <alignment vertical="center" wrapText="1"/>
    </xf>
    <xf numFmtId="185" fontId="3" fillId="0" borderId="228" xfId="369" applyNumberFormat="1" applyFont="1" applyFill="1" applyBorder="1" applyAlignment="1" applyProtection="1">
      <alignment vertical="center" wrapText="1"/>
    </xf>
    <xf numFmtId="0" fontId="3" fillId="0" borderId="17" xfId="369" applyFont="1" applyBorder="1" applyAlignment="1" applyProtection="1">
      <alignment horizontal="left" vertical="center" indent="1"/>
    </xf>
    <xf numFmtId="0" fontId="8" fillId="16" borderId="3" xfId="369" applyFont="1" applyFill="1" applyBorder="1" applyAlignment="1" applyProtection="1">
      <alignment horizontal="right" vertical="center"/>
    </xf>
    <xf numFmtId="0" fontId="8" fillId="16" borderId="229" xfId="369" applyFont="1" applyFill="1" applyBorder="1" applyAlignment="1" applyProtection="1">
      <alignment horizontal="right" vertical="center"/>
    </xf>
    <xf numFmtId="0" fontId="8" fillId="16" borderId="192" xfId="369" applyFont="1" applyFill="1" applyBorder="1" applyAlignment="1" applyProtection="1">
      <alignment horizontal="right" vertical="center"/>
    </xf>
    <xf numFmtId="0" fontId="8" fillId="5" borderId="7" xfId="369" applyFont="1" applyFill="1" applyBorder="1" applyAlignment="1" applyProtection="1">
      <alignment horizontal="right" vertical="center"/>
    </xf>
    <xf numFmtId="0" fontId="75" fillId="6" borderId="7" xfId="369" applyFont="1" applyFill="1" applyBorder="1" applyAlignment="1" applyProtection="1">
      <alignment vertical="center" wrapText="1"/>
      <protection locked="0"/>
    </xf>
    <xf numFmtId="0" fontId="66" fillId="5" borderId="35" xfId="369" applyFont="1" applyFill="1" applyBorder="1" applyAlignment="1" applyProtection="1">
      <alignment horizontal="left" vertical="center"/>
    </xf>
    <xf numFmtId="0" fontId="66" fillId="5" borderId="2" xfId="369" applyFont="1" applyFill="1" applyBorder="1" applyAlignment="1" applyProtection="1">
      <alignment horizontal="left" vertical="center"/>
    </xf>
    <xf numFmtId="0" fontId="66" fillId="5" borderId="33" xfId="369" applyFont="1" applyFill="1" applyBorder="1" applyAlignment="1" applyProtection="1">
      <alignment horizontal="left" vertical="center"/>
    </xf>
    <xf numFmtId="0" fontId="3" fillId="6" borderId="0" xfId="369" applyFill="1" applyAlignment="1" applyProtection="1">
      <alignment vertical="top" wrapText="1"/>
    </xf>
    <xf numFmtId="0" fontId="3" fillId="6" borderId="5" xfId="369" applyFill="1" applyBorder="1" applyAlignment="1" applyProtection="1">
      <alignment horizontal="left" vertical="top" wrapText="1"/>
    </xf>
    <xf numFmtId="0" fontId="8" fillId="6" borderId="5" xfId="369" applyFont="1" applyFill="1" applyBorder="1" applyAlignment="1" applyProtection="1">
      <alignment horizontal="left" vertical="top" wrapText="1"/>
    </xf>
    <xf numFmtId="0" fontId="8" fillId="6" borderId="0" xfId="369" applyFont="1" applyFill="1" applyAlignment="1" applyProtection="1">
      <alignment horizontal="left" vertical="top" wrapText="1"/>
    </xf>
    <xf numFmtId="0" fontId="3" fillId="6" borderId="0" xfId="369" applyFill="1" applyAlignment="1" applyProtection="1">
      <alignment horizontal="left" vertical="top" wrapText="1"/>
    </xf>
    <xf numFmtId="0" fontId="3" fillId="0" borderId="0" xfId="369" applyFill="1" applyAlignment="1" applyProtection="1">
      <alignment vertical="top" wrapText="1"/>
    </xf>
    <xf numFmtId="0" fontId="3" fillId="6" borderId="0" xfId="369" applyFill="1" applyAlignment="1" applyProtection="1">
      <alignment horizontal="left" vertical="top" wrapText="1"/>
      <protection locked="0"/>
    </xf>
    <xf numFmtId="0" fontId="8" fillId="6" borderId="0" xfId="369" applyFont="1" applyFill="1" applyAlignment="1" applyProtection="1">
      <alignment vertical="center" wrapText="1"/>
    </xf>
    <xf numFmtId="0" fontId="109" fillId="6" borderId="0" xfId="369" applyFont="1" applyFill="1" applyProtection="1">
      <protection locked="0"/>
    </xf>
    <xf numFmtId="0" fontId="86" fillId="76" borderId="0" xfId="369" applyFont="1" applyFill="1"/>
    <xf numFmtId="0" fontId="74" fillId="0" borderId="0" xfId="369" applyFont="1" applyFill="1" applyAlignment="1" applyProtection="1">
      <alignment vertical="center"/>
    </xf>
    <xf numFmtId="0" fontId="74" fillId="74" borderId="0" xfId="369" applyFont="1" applyFill="1" applyAlignment="1" applyProtection="1">
      <alignment vertical="center" wrapText="1"/>
    </xf>
    <xf numFmtId="0" fontId="74" fillId="74" borderId="0" xfId="369" applyFont="1" applyFill="1" applyBorder="1" applyAlignment="1" applyProtection="1">
      <alignment vertical="center"/>
    </xf>
    <xf numFmtId="0" fontId="74" fillId="74" borderId="0" xfId="369" applyFont="1" applyFill="1" applyBorder="1" applyAlignment="1" applyProtection="1">
      <alignment horizontal="left" vertical="center"/>
    </xf>
    <xf numFmtId="0" fontId="86" fillId="76" borderId="0" xfId="369" applyFont="1" applyFill="1" applyAlignment="1">
      <alignment vertical="center"/>
    </xf>
    <xf numFmtId="0" fontId="8" fillId="0" borderId="0" xfId="369" applyFont="1" applyFill="1" applyAlignment="1" applyProtection="1">
      <alignment wrapText="1"/>
    </xf>
    <xf numFmtId="185" fontId="13" fillId="61" borderId="23" xfId="369" applyNumberFormat="1" applyFont="1" applyFill="1" applyBorder="1" applyAlignment="1" applyProtection="1">
      <alignment vertical="center" wrapText="1"/>
      <protection locked="0"/>
    </xf>
    <xf numFmtId="185" fontId="13" fillId="61" borderId="174" xfId="369" applyNumberFormat="1" applyFont="1" applyFill="1" applyBorder="1" applyAlignment="1" applyProtection="1">
      <alignment vertical="center" wrapText="1"/>
      <protection locked="0"/>
    </xf>
    <xf numFmtId="185" fontId="13" fillId="61" borderId="223" xfId="369" applyNumberFormat="1" applyFont="1" applyFill="1" applyBorder="1" applyAlignment="1" applyProtection="1">
      <alignment vertical="center" wrapText="1"/>
      <protection locked="0"/>
    </xf>
    <xf numFmtId="185" fontId="3" fillId="82" borderId="228" xfId="369" applyNumberFormat="1" applyFont="1" applyFill="1" applyBorder="1" applyAlignment="1" applyProtection="1">
      <alignment vertical="center" wrapText="1"/>
    </xf>
    <xf numFmtId="10" fontId="3" fillId="83" borderId="163" xfId="369" applyNumberFormat="1" applyFont="1" applyFill="1" applyBorder="1" applyAlignment="1" applyProtection="1">
      <alignment horizontal="right" vertical="center" wrapText="1"/>
    </xf>
    <xf numFmtId="192" fontId="3" fillId="83" borderId="226" xfId="369" applyNumberFormat="1" applyFont="1" applyFill="1" applyBorder="1" applyAlignment="1" applyProtection="1">
      <alignment horizontal="right" vertical="center" wrapText="1"/>
    </xf>
    <xf numFmtId="192" fontId="3" fillId="83" borderId="225" xfId="369" applyNumberFormat="1" applyFont="1" applyFill="1" applyBorder="1" applyAlignment="1" applyProtection="1">
      <alignment horizontal="right" vertical="center" wrapText="1"/>
    </xf>
    <xf numFmtId="10" fontId="3" fillId="82" borderId="163" xfId="369" applyNumberFormat="1" applyFont="1" applyFill="1" applyBorder="1" applyAlignment="1" applyProtection="1">
      <alignment horizontal="right" vertical="center" wrapText="1"/>
    </xf>
    <xf numFmtId="185" fontId="3" fillId="82" borderId="23" xfId="369" applyNumberFormat="1" applyFont="1" applyFill="1" applyBorder="1" applyAlignment="1" applyProtection="1">
      <alignment vertical="center" wrapText="1"/>
      <protection locked="0"/>
    </xf>
    <xf numFmtId="185" fontId="3" fillId="82" borderId="174" xfId="369" applyNumberFormat="1" applyFont="1" applyFill="1" applyBorder="1" applyAlignment="1" applyProtection="1">
      <alignment vertical="center" wrapText="1"/>
      <protection locked="0"/>
    </xf>
    <xf numFmtId="185" fontId="3" fillId="82" borderId="175" xfId="369" applyNumberFormat="1" applyFont="1" applyFill="1" applyBorder="1" applyAlignment="1" applyProtection="1">
      <alignment vertical="center" wrapText="1"/>
      <protection locked="0"/>
    </xf>
    <xf numFmtId="185" fontId="93" fillId="84" borderId="176" xfId="369" applyNumberFormat="1" applyFont="1" applyFill="1" applyBorder="1" applyAlignment="1" applyProtection="1">
      <alignment horizontal="right" wrapText="1"/>
    </xf>
    <xf numFmtId="185" fontId="3" fillId="83" borderId="179" xfId="369" applyNumberFormat="1" applyFont="1" applyFill="1" applyBorder="1" applyAlignment="1">
      <alignment horizontal="right" vertical="center" wrapText="1"/>
    </xf>
    <xf numFmtId="185" fontId="3" fillId="83" borderId="167" xfId="369" applyNumberFormat="1" applyFont="1" applyFill="1" applyBorder="1" applyAlignment="1">
      <alignment horizontal="right" vertical="center" wrapText="1"/>
    </xf>
    <xf numFmtId="185" fontId="3" fillId="83" borderId="173" xfId="369" applyNumberFormat="1" applyFont="1" applyFill="1" applyBorder="1" applyAlignment="1">
      <alignment horizontal="right" vertical="center" wrapText="1"/>
    </xf>
    <xf numFmtId="185" fontId="3" fillId="83" borderId="23" xfId="369" applyNumberFormat="1" applyFont="1" applyFill="1" applyBorder="1" applyAlignment="1">
      <alignment horizontal="right" wrapText="1"/>
    </xf>
    <xf numFmtId="185" fontId="3" fillId="83" borderId="174" xfId="369" applyNumberFormat="1" applyFont="1" applyFill="1" applyBorder="1" applyAlignment="1">
      <alignment horizontal="right" wrapText="1"/>
    </xf>
    <xf numFmtId="185" fontId="3" fillId="83" borderId="175" xfId="369" applyNumberFormat="1" applyFont="1" applyFill="1" applyBorder="1" applyAlignment="1">
      <alignment horizontal="right" wrapText="1"/>
    </xf>
    <xf numFmtId="185" fontId="3" fillId="82" borderId="223" xfId="369" applyNumberFormat="1" applyFont="1" applyFill="1" applyBorder="1" applyAlignment="1" applyProtection="1">
      <alignment vertical="center" wrapText="1"/>
      <protection locked="0"/>
    </xf>
    <xf numFmtId="185" fontId="3" fillId="82" borderId="158" xfId="369" applyNumberFormat="1" applyFont="1" applyFill="1" applyBorder="1" applyAlignment="1" applyProtection="1">
      <alignment vertical="center" wrapText="1"/>
      <protection locked="0"/>
    </xf>
    <xf numFmtId="185" fontId="3" fillId="82" borderId="168" xfId="369" applyNumberFormat="1" applyFont="1" applyFill="1" applyBorder="1" applyAlignment="1" applyProtection="1">
      <alignment vertical="center" wrapText="1"/>
      <protection locked="0"/>
    </xf>
    <xf numFmtId="185" fontId="3" fillId="82" borderId="160" xfId="369" applyNumberFormat="1" applyFont="1" applyFill="1" applyBorder="1" applyAlignment="1" applyProtection="1">
      <alignment vertical="center" wrapText="1"/>
      <protection locked="0"/>
    </xf>
    <xf numFmtId="185" fontId="93" fillId="84" borderId="186" xfId="369" applyNumberFormat="1" applyFont="1" applyFill="1" applyBorder="1" applyAlignment="1" applyProtection="1">
      <alignment vertical="center"/>
    </xf>
    <xf numFmtId="185" fontId="93" fillId="84" borderId="5" xfId="369" applyNumberFormat="1" applyFont="1" applyFill="1" applyBorder="1" applyAlignment="1" applyProtection="1">
      <alignment vertical="center"/>
    </xf>
    <xf numFmtId="188" fontId="3" fillId="83" borderId="179" xfId="369" applyNumberFormat="1" applyFont="1" applyFill="1" applyBorder="1" applyAlignment="1" applyProtection="1">
      <alignment horizontal="right" vertical="center"/>
    </xf>
    <xf numFmtId="188" fontId="3" fillId="83" borderId="167" xfId="369" applyNumberFormat="1" applyFont="1" applyFill="1" applyBorder="1" applyAlignment="1" applyProtection="1">
      <alignment horizontal="right" vertical="center"/>
    </xf>
    <xf numFmtId="188" fontId="3" fillId="83" borderId="195" xfId="369" applyNumberFormat="1" applyFont="1" applyFill="1" applyBorder="1" applyAlignment="1" applyProtection="1">
      <alignment horizontal="right" vertical="center"/>
    </xf>
    <xf numFmtId="0" fontId="3" fillId="0" borderId="25" xfId="369" applyFont="1" applyFill="1" applyBorder="1" applyAlignment="1" applyProtection="1">
      <alignment horizontal="left" vertical="center" indent="3"/>
    </xf>
    <xf numFmtId="0" fontId="3" fillId="0" borderId="165" xfId="369" applyFont="1" applyFill="1" applyBorder="1" applyAlignment="1" applyProtection="1">
      <alignment horizontal="left" vertical="center" wrapText="1" indent="1"/>
    </xf>
    <xf numFmtId="188" fontId="3" fillId="83" borderId="23" xfId="369" applyNumberFormat="1" applyFont="1" applyFill="1" applyBorder="1" applyAlignment="1" applyProtection="1">
      <alignment horizontal="right" vertical="center"/>
    </xf>
    <xf numFmtId="188" fontId="3" fillId="83" borderId="174" xfId="369" applyNumberFormat="1" applyFont="1" applyFill="1" applyBorder="1" applyAlignment="1" applyProtection="1">
      <alignment horizontal="right" vertical="center"/>
    </xf>
    <xf numFmtId="188" fontId="3" fillId="83" borderId="223" xfId="369" applyNumberFormat="1" applyFont="1" applyFill="1" applyBorder="1" applyAlignment="1" applyProtection="1">
      <alignment horizontal="right" vertical="center"/>
    </xf>
    <xf numFmtId="188" fontId="3" fillId="83" borderId="220" xfId="369" applyNumberFormat="1" applyFont="1" applyFill="1" applyBorder="1" applyAlignment="1" applyProtection="1">
      <alignment horizontal="right" vertical="center"/>
    </xf>
    <xf numFmtId="188" fontId="3" fillId="83" borderId="182" xfId="369" applyNumberFormat="1" applyFont="1" applyFill="1" applyBorder="1" applyAlignment="1" applyProtection="1">
      <alignment horizontal="right" vertical="center"/>
    </xf>
    <xf numFmtId="188" fontId="3" fillId="83" borderId="27" xfId="369" applyNumberFormat="1" applyFont="1" applyFill="1" applyBorder="1" applyAlignment="1" applyProtection="1">
      <alignment horizontal="right" vertical="center"/>
    </xf>
    <xf numFmtId="185" fontId="93" fillId="84" borderId="176" xfId="369" applyNumberFormat="1" applyFont="1" applyFill="1" applyBorder="1" applyAlignment="1" applyProtection="1">
      <alignment vertical="center"/>
    </xf>
    <xf numFmtId="185" fontId="93" fillId="84" borderId="177" xfId="369" applyNumberFormat="1" applyFont="1" applyFill="1" applyBorder="1" applyAlignment="1" applyProtection="1">
      <alignment vertical="center"/>
    </xf>
    <xf numFmtId="185" fontId="93" fillId="84" borderId="222" xfId="369" applyNumberFormat="1" applyFont="1" applyFill="1" applyBorder="1" applyAlignment="1" applyProtection="1">
      <alignment vertical="center"/>
    </xf>
    <xf numFmtId="0" fontId="75" fillId="85" borderId="33" xfId="369" applyFont="1" applyFill="1" applyBorder="1" applyAlignment="1" applyProtection="1">
      <alignment horizontal="left" vertical="center"/>
    </xf>
    <xf numFmtId="188" fontId="3" fillId="83" borderId="170" xfId="369" applyNumberFormat="1" applyFont="1" applyFill="1" applyBorder="1" applyAlignment="1" applyProtection="1">
      <alignment horizontal="right" vertical="center"/>
    </xf>
    <xf numFmtId="188" fontId="3" fillId="83" borderId="172" xfId="369" applyNumberFormat="1" applyFont="1" applyFill="1" applyBorder="1" applyAlignment="1" applyProtection="1">
      <alignment horizontal="right" vertical="center"/>
    </xf>
    <xf numFmtId="188" fontId="3" fillId="83" borderId="191" xfId="369" applyNumberFormat="1" applyFont="1" applyFill="1" applyBorder="1" applyAlignment="1" applyProtection="1">
      <alignment horizontal="right" vertical="center"/>
    </xf>
    <xf numFmtId="188" fontId="3" fillId="83" borderId="34" xfId="369" applyNumberFormat="1" applyFont="1" applyFill="1" applyBorder="1" applyAlignment="1" applyProtection="1">
      <alignment horizontal="right" vertical="center"/>
    </xf>
    <xf numFmtId="188" fontId="3" fillId="83" borderId="194" xfId="369" applyNumberFormat="1" applyFont="1" applyFill="1" applyBorder="1" applyAlignment="1" applyProtection="1">
      <alignment horizontal="right" vertical="center"/>
    </xf>
    <xf numFmtId="188" fontId="3" fillId="83" borderId="173" xfId="369" applyNumberFormat="1" applyFont="1" applyFill="1" applyBorder="1" applyAlignment="1" applyProtection="1">
      <alignment horizontal="right" vertical="center"/>
    </xf>
    <xf numFmtId="188" fontId="3" fillId="83" borderId="158" xfId="369" applyNumberFormat="1" applyFont="1" applyFill="1" applyBorder="1" applyAlignment="1" applyProtection="1">
      <alignment horizontal="right" vertical="center"/>
    </xf>
    <xf numFmtId="188" fontId="3" fillId="83" borderId="181" xfId="369" applyNumberFormat="1" applyFont="1" applyFill="1" applyBorder="1" applyAlignment="1" applyProtection="1">
      <alignment horizontal="right" vertical="center"/>
    </xf>
    <xf numFmtId="188" fontId="3" fillId="83" borderId="175" xfId="369" applyNumberFormat="1" applyFont="1" applyFill="1" applyBorder="1" applyAlignment="1" applyProtection="1">
      <alignment horizontal="right" vertical="center"/>
    </xf>
    <xf numFmtId="188" fontId="3" fillId="83" borderId="221" xfId="369" applyNumberFormat="1" applyFont="1" applyFill="1" applyBorder="1" applyAlignment="1" applyProtection="1">
      <alignment horizontal="right" vertical="center"/>
    </xf>
    <xf numFmtId="188" fontId="3" fillId="83" borderId="169" xfId="369" applyNumberFormat="1" applyFont="1" applyFill="1" applyBorder="1" applyAlignment="1" applyProtection="1">
      <alignment horizontal="right" vertical="center"/>
    </xf>
    <xf numFmtId="188" fontId="3" fillId="83" borderId="180" xfId="369" applyNumberFormat="1" applyFont="1" applyFill="1" applyBorder="1" applyAlignment="1" applyProtection="1">
      <alignment horizontal="right" vertical="center"/>
    </xf>
    <xf numFmtId="188" fontId="3" fillId="83" borderId="32" xfId="369" applyNumberFormat="1" applyFont="1" applyFill="1" applyBorder="1" applyAlignment="1" applyProtection="1">
      <alignment horizontal="right" vertical="center"/>
    </xf>
    <xf numFmtId="188" fontId="3" fillId="83" borderId="22" xfId="369" applyNumberFormat="1" applyFont="1" applyFill="1" applyBorder="1" applyAlignment="1" applyProtection="1">
      <alignment horizontal="right" vertical="center"/>
    </xf>
    <xf numFmtId="188" fontId="3" fillId="83" borderId="183" xfId="369" applyNumberFormat="1" applyFont="1" applyFill="1" applyBorder="1" applyAlignment="1" applyProtection="1">
      <alignment horizontal="right" vertical="center"/>
    </xf>
    <xf numFmtId="188" fontId="3" fillId="83" borderId="168" xfId="369" applyNumberFormat="1" applyFont="1" applyFill="1" applyBorder="1" applyAlignment="1" applyProtection="1">
      <alignment horizontal="right" vertical="center"/>
    </xf>
    <xf numFmtId="188" fontId="3" fillId="83" borderId="160" xfId="369" applyNumberFormat="1" applyFont="1" applyFill="1" applyBorder="1" applyAlignment="1" applyProtection="1">
      <alignment horizontal="right" vertical="center"/>
    </xf>
    <xf numFmtId="188" fontId="93" fillId="84" borderId="5" xfId="369" applyNumberFormat="1" applyFont="1" applyFill="1" applyBorder="1" applyAlignment="1" applyProtection="1">
      <alignment horizontal="right" vertical="center"/>
    </xf>
    <xf numFmtId="188" fontId="93" fillId="84" borderId="184" xfId="369" applyNumberFormat="1" applyFont="1" applyFill="1" applyBorder="1" applyAlignment="1" applyProtection="1">
      <alignment horizontal="right" vertical="center"/>
    </xf>
    <xf numFmtId="188" fontId="93" fillId="84" borderId="185" xfId="369" applyNumberFormat="1" applyFont="1" applyFill="1" applyBorder="1" applyAlignment="1" applyProtection="1">
      <alignment horizontal="right" vertical="center"/>
    </xf>
    <xf numFmtId="188" fontId="93" fillId="84" borderId="214" xfId="369" applyNumberFormat="1" applyFont="1" applyFill="1" applyBorder="1" applyAlignment="1" applyProtection="1">
      <alignment horizontal="right" vertical="center"/>
    </xf>
    <xf numFmtId="188" fontId="93" fillId="84" borderId="34" xfId="369" applyNumberFormat="1" applyFont="1" applyFill="1" applyBorder="1" applyAlignment="1" applyProtection="1">
      <alignment horizontal="right" vertical="center"/>
    </xf>
    <xf numFmtId="188" fontId="93" fillId="84" borderId="215" xfId="369" applyNumberFormat="1" applyFont="1" applyFill="1" applyBorder="1" applyAlignment="1" applyProtection="1">
      <alignment horizontal="right" vertical="center"/>
    </xf>
    <xf numFmtId="188" fontId="93" fillId="84" borderId="139" xfId="369" applyNumberFormat="1" applyFont="1" applyFill="1" applyBorder="1" applyAlignment="1" applyProtection="1">
      <alignment horizontal="right"/>
    </xf>
    <xf numFmtId="188" fontId="93" fillId="84" borderId="11" xfId="369" applyNumberFormat="1" applyFont="1" applyFill="1" applyBorder="1" applyAlignment="1" applyProtection="1">
      <alignment horizontal="right"/>
    </xf>
    <xf numFmtId="185" fontId="93" fillId="84" borderId="11" xfId="369" applyNumberFormat="1" applyFont="1" applyFill="1" applyBorder="1" applyAlignment="1" applyProtection="1">
      <alignment horizontal="right" wrapText="1"/>
    </xf>
    <xf numFmtId="185" fontId="3" fillId="86" borderId="23" xfId="369" applyNumberFormat="1" applyFont="1" applyFill="1" applyBorder="1" applyAlignment="1" applyProtection="1">
      <alignment vertical="center" wrapText="1"/>
      <protection locked="0"/>
    </xf>
    <xf numFmtId="185" fontId="3" fillId="86" borderId="174" xfId="369" applyNumberFormat="1" applyFont="1" applyFill="1" applyBorder="1" applyAlignment="1" applyProtection="1">
      <alignment vertical="center" wrapText="1"/>
      <protection locked="0"/>
    </xf>
    <xf numFmtId="185" fontId="3" fillId="86" borderId="223" xfId="369" applyNumberFormat="1" applyFont="1" applyFill="1" applyBorder="1" applyAlignment="1" applyProtection="1">
      <alignment vertical="center" wrapText="1"/>
      <protection locked="0"/>
    </xf>
    <xf numFmtId="185" fontId="3" fillId="86" borderId="175" xfId="369" applyNumberFormat="1" applyFont="1" applyFill="1" applyBorder="1" applyAlignment="1" applyProtection="1">
      <alignment vertical="center" wrapText="1"/>
      <protection locked="0"/>
    </xf>
    <xf numFmtId="185" fontId="3" fillId="83" borderId="23" xfId="369" applyNumberFormat="1" applyFont="1" applyFill="1" applyBorder="1" applyAlignment="1" applyProtection="1">
      <alignment vertical="center" wrapText="1"/>
      <protection locked="0"/>
    </xf>
    <xf numFmtId="185" fontId="3" fillId="83" borderId="174" xfId="369" applyNumberFormat="1" applyFont="1" applyFill="1" applyBorder="1" applyAlignment="1" applyProtection="1">
      <alignment vertical="center" wrapText="1"/>
      <protection locked="0"/>
    </xf>
    <xf numFmtId="185" fontId="3" fillId="83" borderId="223" xfId="369" applyNumberFormat="1" applyFont="1" applyFill="1" applyBorder="1" applyAlignment="1" applyProtection="1">
      <alignment vertical="center" wrapText="1"/>
      <protection locked="0"/>
    </xf>
    <xf numFmtId="185" fontId="3" fillId="83" borderId="175" xfId="369" applyNumberFormat="1" applyFont="1" applyFill="1" applyBorder="1" applyAlignment="1" applyProtection="1">
      <alignment vertical="center" wrapText="1"/>
      <protection locked="0"/>
    </xf>
    <xf numFmtId="0" fontId="3" fillId="6" borderId="46" xfId="4" applyFill="1" applyBorder="1" applyAlignment="1" applyProtection="1">
      <alignment vertical="center"/>
    </xf>
    <xf numFmtId="0" fontId="3" fillId="6" borderId="7" xfId="4" applyFill="1" applyBorder="1" applyAlignment="1" applyProtection="1">
      <alignment vertical="center"/>
    </xf>
    <xf numFmtId="0" fontId="3" fillId="6" borderId="59" xfId="4" applyFill="1" applyBorder="1" applyAlignment="1" applyProtection="1">
      <alignment vertical="center"/>
    </xf>
    <xf numFmtId="0" fontId="3" fillId="0" borderId="118" xfId="2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horizontal="left" vertical="top" wrapText="1"/>
    </xf>
    <xf numFmtId="0" fontId="3" fillId="0" borderId="5" xfId="2" applyFont="1" applyFill="1" applyBorder="1" applyAlignment="1">
      <alignment horizontal="left" vertical="top" wrapText="1"/>
    </xf>
    <xf numFmtId="0" fontId="5" fillId="22" borderId="33" xfId="1" applyFont="1" applyFill="1" applyBorder="1" applyAlignment="1" applyProtection="1">
      <alignment horizontal="left" vertical="top" wrapText="1"/>
    </xf>
    <xf numFmtId="0" fontId="5" fillId="22" borderId="34" xfId="1" applyFont="1" applyFill="1" applyBorder="1" applyAlignment="1" applyProtection="1">
      <alignment horizontal="left" vertical="top" wrapText="1"/>
    </xf>
    <xf numFmtId="0" fontId="5" fillId="22" borderId="35" xfId="1" applyFont="1" applyFill="1" applyBorder="1" applyAlignment="1" applyProtection="1">
      <alignment horizontal="left" vertical="top" wrapText="1"/>
    </xf>
    <xf numFmtId="0" fontId="8" fillId="13" borderId="5" xfId="1" applyFont="1" applyFill="1" applyBorder="1" applyAlignment="1">
      <alignment horizontal="center" vertical="center"/>
    </xf>
    <xf numFmtId="0" fontId="8" fillId="17" borderId="36" xfId="1" applyFont="1" applyFill="1" applyBorder="1" applyAlignment="1">
      <alignment horizontal="center" vertical="center"/>
    </xf>
    <xf numFmtId="0" fontId="8" fillId="17" borderId="37" xfId="1" applyFont="1" applyFill="1" applyBorder="1" applyAlignment="1">
      <alignment horizontal="center" vertical="center"/>
    </xf>
    <xf numFmtId="0" fontId="8" fillId="17" borderId="38" xfId="1" applyFont="1" applyFill="1" applyBorder="1" applyAlignment="1">
      <alignment horizontal="center" vertical="center"/>
    </xf>
    <xf numFmtId="0" fontId="8" fillId="17" borderId="209" xfId="1" applyFont="1" applyFill="1" applyBorder="1" applyAlignment="1">
      <alignment horizontal="center"/>
    </xf>
    <xf numFmtId="0" fontId="8" fillId="17" borderId="5" xfId="1" applyFont="1" applyFill="1" applyBorder="1" applyAlignment="1">
      <alignment horizontal="center"/>
    </xf>
    <xf numFmtId="0" fontId="8" fillId="17" borderId="210" xfId="1" applyFont="1" applyFill="1" applyBorder="1" applyAlignment="1">
      <alignment horizontal="center"/>
    </xf>
    <xf numFmtId="0" fontId="3" fillId="8" borderId="76" xfId="1" applyFont="1" applyFill="1" applyBorder="1" applyAlignment="1">
      <alignment vertical="center" wrapText="1"/>
    </xf>
    <xf numFmtId="0" fontId="3" fillId="8" borderId="77" xfId="1" applyFont="1" applyFill="1" applyBorder="1" applyAlignment="1">
      <alignment vertical="center" wrapText="1"/>
    </xf>
    <xf numFmtId="0" fontId="8" fillId="17" borderId="78" xfId="1" applyFont="1" applyFill="1" applyBorder="1" applyAlignment="1">
      <alignment horizontal="center" vertical="center"/>
    </xf>
    <xf numFmtId="0" fontId="8" fillId="17" borderId="34" xfId="1" applyFont="1" applyFill="1" applyBorder="1" applyAlignment="1">
      <alignment horizontal="center" vertical="center"/>
    </xf>
    <xf numFmtId="0" fontId="8" fillId="17" borderId="35" xfId="1" applyFont="1" applyFill="1" applyBorder="1" applyAlignment="1">
      <alignment horizontal="center" vertical="center"/>
    </xf>
    <xf numFmtId="0" fontId="22" fillId="80" borderId="0" xfId="1" applyFont="1" applyFill="1" applyAlignment="1" applyProtection="1">
      <alignment horizontal="center" vertical="top" wrapText="1"/>
    </xf>
    <xf numFmtId="0" fontId="7" fillId="5" borderId="0" xfId="704" applyFont="1" applyFill="1" applyAlignment="1">
      <alignment horizontal="center"/>
    </xf>
    <xf numFmtId="0" fontId="8" fillId="7" borderId="1" xfId="704" applyFont="1" applyFill="1" applyBorder="1" applyAlignment="1">
      <alignment horizontal="center"/>
    </xf>
    <xf numFmtId="0" fontId="8" fillId="7" borderId="2" xfId="704" applyFont="1" applyFill="1" applyBorder="1" applyAlignment="1">
      <alignment horizontal="center"/>
    </xf>
    <xf numFmtId="0" fontId="2" fillId="4" borderId="1" xfId="704" applyFont="1" applyFill="1" applyBorder="1" applyAlignment="1">
      <alignment horizontal="center"/>
    </xf>
    <xf numFmtId="0" fontId="2" fillId="4" borderId="2" xfId="704" applyFont="1" applyFill="1" applyBorder="1" applyAlignment="1">
      <alignment horizontal="center"/>
    </xf>
    <xf numFmtId="0" fontId="2" fillId="4" borderId="3" xfId="704" applyFont="1" applyFill="1" applyBorder="1" applyAlignment="1">
      <alignment horizontal="center"/>
    </xf>
    <xf numFmtId="0" fontId="8" fillId="15" borderId="206" xfId="1" applyFont="1" applyFill="1" applyBorder="1" applyAlignment="1">
      <alignment horizontal="center" vertical="center"/>
    </xf>
    <xf numFmtId="0" fontId="8" fillId="15" borderId="207" xfId="1" applyFont="1" applyFill="1" applyBorder="1" applyAlignment="1">
      <alignment horizontal="center" vertical="center"/>
    </xf>
    <xf numFmtId="0" fontId="8" fillId="15" borderId="208" xfId="1" applyFont="1" applyFill="1" applyBorder="1" applyAlignment="1">
      <alignment horizontal="center" vertical="center"/>
    </xf>
    <xf numFmtId="0" fontId="8" fillId="15" borderId="33" xfId="1" applyFont="1" applyFill="1" applyBorder="1" applyAlignment="1">
      <alignment horizontal="center" vertical="center"/>
    </xf>
    <xf numFmtId="0" fontId="8" fillId="15" borderId="34" xfId="1" applyFont="1" applyFill="1" applyBorder="1" applyAlignment="1">
      <alignment horizontal="center" vertical="center"/>
    </xf>
    <xf numFmtId="0" fontId="8" fillId="15" borderId="35" xfId="1" applyFont="1" applyFill="1" applyBorder="1" applyAlignment="1">
      <alignment horizontal="center" vertical="center"/>
    </xf>
    <xf numFmtId="0" fontId="4" fillId="77" borderId="179" xfId="369" applyFont="1" applyFill="1" applyBorder="1" applyAlignment="1" applyProtection="1">
      <alignment horizontal="center"/>
    </xf>
    <xf numFmtId="0" fontId="4" fillId="77" borderId="167" xfId="369" applyFont="1" applyFill="1" applyBorder="1" applyAlignment="1" applyProtection="1">
      <alignment horizontal="center"/>
    </xf>
    <xf numFmtId="0" fontId="4" fillId="77" borderId="173" xfId="369" applyFont="1" applyFill="1" applyBorder="1" applyAlignment="1" applyProtection="1">
      <alignment horizontal="center"/>
    </xf>
    <xf numFmtId="0" fontId="8" fillId="7" borderId="158" xfId="369" applyFont="1" applyFill="1" applyBorder="1" applyAlignment="1" applyProtection="1">
      <alignment horizontal="center" vertical="center"/>
    </xf>
    <xf numFmtId="0" fontId="8" fillId="7" borderId="168" xfId="369" applyFont="1" applyFill="1" applyBorder="1" applyAlignment="1" applyProtection="1">
      <alignment horizontal="center" vertical="center"/>
    </xf>
    <xf numFmtId="0" fontId="8" fillId="7" borderId="193" xfId="369" applyFont="1" applyFill="1" applyBorder="1" applyAlignment="1" applyProtection="1">
      <alignment horizontal="center" vertical="center"/>
    </xf>
    <xf numFmtId="0" fontId="8" fillId="7" borderId="33" xfId="369" applyFont="1" applyFill="1" applyBorder="1" applyAlignment="1" applyProtection="1">
      <alignment horizontal="center" vertical="center"/>
    </xf>
    <xf numFmtId="0" fontId="8" fillId="7" borderId="34" xfId="369" applyFont="1" applyFill="1" applyBorder="1" applyAlignment="1" applyProtection="1">
      <alignment horizontal="center" vertical="center"/>
    </xf>
    <xf numFmtId="0" fontId="8" fillId="7" borderId="2" xfId="369" applyFont="1" applyFill="1" applyBorder="1" applyAlignment="1" applyProtection="1">
      <alignment horizontal="center" vertical="center"/>
    </xf>
    <xf numFmtId="0" fontId="8" fillId="7" borderId="3" xfId="369" applyFont="1" applyFill="1" applyBorder="1" applyAlignment="1" applyProtection="1">
      <alignment horizontal="center" vertical="center"/>
    </xf>
    <xf numFmtId="0" fontId="4" fillId="7" borderId="179" xfId="369" applyFont="1" applyFill="1" applyBorder="1" applyAlignment="1" applyProtection="1">
      <alignment horizontal="center"/>
    </xf>
    <xf numFmtId="0" fontId="4" fillId="7" borderId="167" xfId="369" applyFont="1" applyFill="1" applyBorder="1" applyAlignment="1" applyProtection="1">
      <alignment horizontal="center"/>
    </xf>
    <xf numFmtId="0" fontId="4" fillId="7" borderId="173" xfId="369" applyFont="1" applyFill="1" applyBorder="1" applyAlignment="1" applyProtection="1">
      <alignment horizontal="center"/>
    </xf>
    <xf numFmtId="0" fontId="22" fillId="16" borderId="33" xfId="369" applyFont="1" applyFill="1" applyBorder="1" applyAlignment="1" applyProtection="1">
      <alignment horizontal="center" vertical="center"/>
      <protection locked="0"/>
    </xf>
    <xf numFmtId="0" fontId="22" fillId="16" borderId="34" xfId="369" applyFont="1" applyFill="1" applyBorder="1" applyAlignment="1" applyProtection="1">
      <alignment horizontal="center" vertical="center"/>
      <protection locked="0"/>
    </xf>
    <xf numFmtId="0" fontId="22" fillId="16" borderId="35" xfId="369" applyFont="1" applyFill="1" applyBorder="1" applyAlignment="1" applyProtection="1">
      <alignment horizontal="center" vertical="center"/>
      <protection locked="0"/>
    </xf>
    <xf numFmtId="0" fontId="22" fillId="16" borderId="33" xfId="369" applyFont="1" applyFill="1" applyBorder="1" applyAlignment="1" applyProtection="1">
      <alignment horizontal="center" vertical="center"/>
    </xf>
    <xf numFmtId="0" fontId="22" fillId="16" borderId="35" xfId="369" applyFont="1" applyFill="1" applyBorder="1" applyAlignment="1" applyProtection="1">
      <alignment horizontal="center" vertical="center"/>
    </xf>
    <xf numFmtId="0" fontId="3" fillId="58" borderId="0" xfId="369" applyFont="1" applyFill="1" applyAlignment="1" applyProtection="1">
      <alignment horizontal="left" vertical="top" wrapText="1"/>
      <protection locked="0"/>
    </xf>
  </cellXfs>
  <cellStyles count="711">
    <cellStyle name=" 1" xfId="9" xr:uid="{00000000-0005-0000-0000-000000000000}"/>
    <cellStyle name=" 1 2" xfId="10" xr:uid="{00000000-0005-0000-0000-000001000000}"/>
    <cellStyle name=" 1 2 2" xfId="11" xr:uid="{00000000-0005-0000-0000-000002000000}"/>
    <cellStyle name=" 1 2 3" xfId="12" xr:uid="{00000000-0005-0000-0000-000003000000}"/>
    <cellStyle name=" 1 3" xfId="13" xr:uid="{00000000-0005-0000-0000-000004000000}"/>
    <cellStyle name=" 1 3 2" xfId="14" xr:uid="{00000000-0005-0000-0000-000005000000}"/>
    <cellStyle name=" 1 4" xfId="15" xr:uid="{00000000-0005-0000-0000-000006000000}"/>
    <cellStyle name=" 1_29(d) - Gas extensions -tariffs" xfId="16" xr:uid="{00000000-0005-0000-0000-000007000000}"/>
    <cellStyle name="_3GIS model v2.77_Distribution Business_Retail Fin Perform " xfId="17" xr:uid="{00000000-0005-0000-0000-000008000000}"/>
    <cellStyle name="_3GIS model v2.77_Fleet Overhead Costs 2_Retail Fin Perform " xfId="18" xr:uid="{00000000-0005-0000-0000-000009000000}"/>
    <cellStyle name="_3GIS model v2.77_Fleet Overhead Costs_Retail Fin Perform " xfId="19" xr:uid="{00000000-0005-0000-0000-00000A000000}"/>
    <cellStyle name="_3GIS model v2.77_Forecast 2_Retail Fin Perform " xfId="20" xr:uid="{00000000-0005-0000-0000-00000B000000}"/>
    <cellStyle name="_3GIS model v2.77_Forecast_Retail Fin Perform " xfId="21" xr:uid="{00000000-0005-0000-0000-00000C000000}"/>
    <cellStyle name="_3GIS model v2.77_Funding &amp; Cashflow_1_Retail Fin Perform " xfId="22" xr:uid="{00000000-0005-0000-0000-00000D000000}"/>
    <cellStyle name="_3GIS model v2.77_Funding &amp; Cashflow_Retail Fin Perform " xfId="23" xr:uid="{00000000-0005-0000-0000-00000E000000}"/>
    <cellStyle name="_3GIS model v2.77_Group P&amp;L_1_Retail Fin Perform " xfId="24" xr:uid="{00000000-0005-0000-0000-00000F000000}"/>
    <cellStyle name="_3GIS model v2.77_Group P&amp;L_Retail Fin Perform " xfId="25" xr:uid="{00000000-0005-0000-0000-000010000000}"/>
    <cellStyle name="_3GIS model v2.77_Opening  Detailed BS_Retail Fin Perform " xfId="26" xr:uid="{00000000-0005-0000-0000-000011000000}"/>
    <cellStyle name="_3GIS model v2.77_OUTPUT DB_Retail Fin Perform " xfId="27" xr:uid="{00000000-0005-0000-0000-000012000000}"/>
    <cellStyle name="_3GIS model v2.77_OUTPUT EB_Retail Fin Perform " xfId="28" xr:uid="{00000000-0005-0000-0000-000013000000}"/>
    <cellStyle name="_3GIS model v2.77_Report_Retail Fin Perform " xfId="29" xr:uid="{00000000-0005-0000-0000-000014000000}"/>
    <cellStyle name="_3GIS model v2.77_Retail Fin Perform " xfId="30" xr:uid="{00000000-0005-0000-0000-000015000000}"/>
    <cellStyle name="_3GIS model v2.77_Sheet2 2_Retail Fin Perform " xfId="31" xr:uid="{00000000-0005-0000-0000-000016000000}"/>
    <cellStyle name="_3GIS model v2.77_Sheet2_Retail Fin Perform " xfId="32" xr:uid="{00000000-0005-0000-0000-000017000000}"/>
    <cellStyle name="_Capex" xfId="33" xr:uid="{00000000-0005-0000-0000-000018000000}"/>
    <cellStyle name="_Capex 2" xfId="34" xr:uid="{00000000-0005-0000-0000-000019000000}"/>
    <cellStyle name="_Capex_29(d) - Gas extensions -tariffs" xfId="35" xr:uid="{00000000-0005-0000-0000-00001A000000}"/>
    <cellStyle name="_UED AMP 2009-14 Final 250309 Less PU" xfId="36" xr:uid="{00000000-0005-0000-0000-00001B000000}"/>
    <cellStyle name="_UED AMP 2009-14 Final 250309 Less PU_1011 monthly" xfId="37" xr:uid="{00000000-0005-0000-0000-00001C000000}"/>
    <cellStyle name="20% - Accent1 2" xfId="38" xr:uid="{00000000-0005-0000-0000-00001D000000}"/>
    <cellStyle name="20% - Accent1 3" xfId="39" xr:uid="{00000000-0005-0000-0000-00001E000000}"/>
    <cellStyle name="20% - Accent2 2" xfId="40" xr:uid="{00000000-0005-0000-0000-00001F000000}"/>
    <cellStyle name="20% - Accent3 2" xfId="41" xr:uid="{00000000-0005-0000-0000-000020000000}"/>
    <cellStyle name="20% - Accent4 2" xfId="42" xr:uid="{00000000-0005-0000-0000-000021000000}"/>
    <cellStyle name="20% - Accent5 2" xfId="43" xr:uid="{00000000-0005-0000-0000-000022000000}"/>
    <cellStyle name="20% - Accent6 2" xfId="44" xr:uid="{00000000-0005-0000-0000-000023000000}"/>
    <cellStyle name="40% - Accent1 2" xfId="45" xr:uid="{00000000-0005-0000-0000-000024000000}"/>
    <cellStyle name="40% - Accent1 3" xfId="46" xr:uid="{00000000-0005-0000-0000-000025000000}"/>
    <cellStyle name="40% - Accent2 2" xfId="47" xr:uid="{00000000-0005-0000-0000-000026000000}"/>
    <cellStyle name="40% - Accent3 2" xfId="48" xr:uid="{00000000-0005-0000-0000-000027000000}"/>
    <cellStyle name="40% - Accent4 2" xfId="49" xr:uid="{00000000-0005-0000-0000-000028000000}"/>
    <cellStyle name="40% - Accent5 2" xfId="50" xr:uid="{00000000-0005-0000-0000-000029000000}"/>
    <cellStyle name="40% - Accent6 2" xfId="51" xr:uid="{00000000-0005-0000-0000-00002A000000}"/>
    <cellStyle name="60% - Accent1 2" xfId="52" xr:uid="{00000000-0005-0000-0000-00002B000000}"/>
    <cellStyle name="60% - Accent2 2" xfId="53" xr:uid="{00000000-0005-0000-0000-00002C000000}"/>
    <cellStyle name="60% - Accent3 2" xfId="54" xr:uid="{00000000-0005-0000-0000-00002D000000}"/>
    <cellStyle name="60% - Accent4 2" xfId="55" xr:uid="{00000000-0005-0000-0000-00002E000000}"/>
    <cellStyle name="60% - Accent5 2" xfId="56" xr:uid="{00000000-0005-0000-0000-00002F000000}"/>
    <cellStyle name="60% - Accent6 2" xfId="57" xr:uid="{00000000-0005-0000-0000-000030000000}"/>
    <cellStyle name="Accent1 - 20%" xfId="58" xr:uid="{00000000-0005-0000-0000-000031000000}"/>
    <cellStyle name="Accent1 - 40%" xfId="59" xr:uid="{00000000-0005-0000-0000-000032000000}"/>
    <cellStyle name="Accent1 - 60%" xfId="60" xr:uid="{00000000-0005-0000-0000-000033000000}"/>
    <cellStyle name="Accent1 2" xfId="61" xr:uid="{00000000-0005-0000-0000-000034000000}"/>
    <cellStyle name="Accent1 3" xfId="676" xr:uid="{00000000-0005-0000-0000-000035000000}"/>
    <cellStyle name="Accent1 4" xfId="677" xr:uid="{00000000-0005-0000-0000-000036000000}"/>
    <cellStyle name="Accent1 5" xfId="678" xr:uid="{00000000-0005-0000-0000-000037000000}"/>
    <cellStyle name="Accent2 - 20%" xfId="62" xr:uid="{00000000-0005-0000-0000-000038000000}"/>
    <cellStyle name="Accent2 - 40%" xfId="63" xr:uid="{00000000-0005-0000-0000-000039000000}"/>
    <cellStyle name="Accent2 - 60%" xfId="64" xr:uid="{00000000-0005-0000-0000-00003A000000}"/>
    <cellStyle name="Accent2 2" xfId="65" xr:uid="{00000000-0005-0000-0000-00003B000000}"/>
    <cellStyle name="Accent2 3" xfId="679" xr:uid="{00000000-0005-0000-0000-00003C000000}"/>
    <cellStyle name="Accent2 4" xfId="680" xr:uid="{00000000-0005-0000-0000-00003D000000}"/>
    <cellStyle name="Accent2 5" xfId="681" xr:uid="{00000000-0005-0000-0000-00003E000000}"/>
    <cellStyle name="Accent3 - 20%" xfId="66" xr:uid="{00000000-0005-0000-0000-00003F000000}"/>
    <cellStyle name="Accent3 - 40%" xfId="67" xr:uid="{00000000-0005-0000-0000-000040000000}"/>
    <cellStyle name="Accent3 - 60%" xfId="68" xr:uid="{00000000-0005-0000-0000-000041000000}"/>
    <cellStyle name="Accent3 2" xfId="69" xr:uid="{00000000-0005-0000-0000-000042000000}"/>
    <cellStyle name="Accent3 3" xfId="682" xr:uid="{00000000-0005-0000-0000-000043000000}"/>
    <cellStyle name="Accent3 4" xfId="683" xr:uid="{00000000-0005-0000-0000-000044000000}"/>
    <cellStyle name="Accent3 5" xfId="684" xr:uid="{00000000-0005-0000-0000-000045000000}"/>
    <cellStyle name="Accent4 - 20%" xfId="70" xr:uid="{00000000-0005-0000-0000-000046000000}"/>
    <cellStyle name="Accent4 - 40%" xfId="71" xr:uid="{00000000-0005-0000-0000-000047000000}"/>
    <cellStyle name="Accent4 - 60%" xfId="72" xr:uid="{00000000-0005-0000-0000-000048000000}"/>
    <cellStyle name="Accent4 2" xfId="73" xr:uid="{00000000-0005-0000-0000-000049000000}"/>
    <cellStyle name="Accent4 3" xfId="685" xr:uid="{00000000-0005-0000-0000-00004A000000}"/>
    <cellStyle name="Accent4 4" xfId="686" xr:uid="{00000000-0005-0000-0000-00004B000000}"/>
    <cellStyle name="Accent4 5" xfId="687" xr:uid="{00000000-0005-0000-0000-00004C000000}"/>
    <cellStyle name="Accent5 - 20%" xfId="74" xr:uid="{00000000-0005-0000-0000-00004D000000}"/>
    <cellStyle name="Accent5 - 40%" xfId="75" xr:uid="{00000000-0005-0000-0000-00004E000000}"/>
    <cellStyle name="Accent5 - 60%" xfId="76" xr:uid="{00000000-0005-0000-0000-00004F000000}"/>
    <cellStyle name="Accent5 2" xfId="77" xr:uid="{00000000-0005-0000-0000-000050000000}"/>
    <cellStyle name="Accent5 3" xfId="688" xr:uid="{00000000-0005-0000-0000-000051000000}"/>
    <cellStyle name="Accent5 4" xfId="689" xr:uid="{00000000-0005-0000-0000-000052000000}"/>
    <cellStyle name="Accent5 5" xfId="690" xr:uid="{00000000-0005-0000-0000-000053000000}"/>
    <cellStyle name="Accent6 - 20%" xfId="78" xr:uid="{00000000-0005-0000-0000-000054000000}"/>
    <cellStyle name="Accent6 - 40%" xfId="79" xr:uid="{00000000-0005-0000-0000-000055000000}"/>
    <cellStyle name="Accent6 - 60%" xfId="80" xr:uid="{00000000-0005-0000-0000-000056000000}"/>
    <cellStyle name="Accent6 2" xfId="81" xr:uid="{00000000-0005-0000-0000-000057000000}"/>
    <cellStyle name="Accent6 3" xfId="691" xr:uid="{00000000-0005-0000-0000-000058000000}"/>
    <cellStyle name="Accent6 4" xfId="692" xr:uid="{00000000-0005-0000-0000-000059000000}"/>
    <cellStyle name="Accent6 5" xfId="693" xr:uid="{00000000-0005-0000-0000-00005A000000}"/>
    <cellStyle name="Agara" xfId="82" xr:uid="{00000000-0005-0000-0000-00005B000000}"/>
    <cellStyle name="B79812_.wvu.PrintTitlest" xfId="83" xr:uid="{00000000-0005-0000-0000-00005C000000}"/>
    <cellStyle name="Bad 2" xfId="84" xr:uid="{00000000-0005-0000-0000-00005D000000}"/>
    <cellStyle name="Black" xfId="85" xr:uid="{00000000-0005-0000-0000-00005E000000}"/>
    <cellStyle name="Blockout" xfId="86" xr:uid="{00000000-0005-0000-0000-00005F000000}"/>
    <cellStyle name="Blockout 2" xfId="87" xr:uid="{00000000-0005-0000-0000-000060000000}"/>
    <cellStyle name="Blockout 2 2" xfId="88" xr:uid="{00000000-0005-0000-0000-000061000000}"/>
    <cellStyle name="Blockout 3" xfId="89" xr:uid="{00000000-0005-0000-0000-000062000000}"/>
    <cellStyle name="Blue" xfId="90" xr:uid="{00000000-0005-0000-0000-000063000000}"/>
    <cellStyle name="Calculation 2" xfId="91" xr:uid="{00000000-0005-0000-0000-000064000000}"/>
    <cellStyle name="Calculation 2 2" xfId="92" xr:uid="{00000000-0005-0000-0000-000065000000}"/>
    <cellStyle name="Calculation 2 2 2" xfId="93" xr:uid="{00000000-0005-0000-0000-000066000000}"/>
    <cellStyle name="Calculation 2 3" xfId="94" xr:uid="{00000000-0005-0000-0000-000067000000}"/>
    <cellStyle name="Calculation 2 3 2" xfId="95" xr:uid="{00000000-0005-0000-0000-000068000000}"/>
    <cellStyle name="Calculation 2 3 3" xfId="96" xr:uid="{00000000-0005-0000-0000-000069000000}"/>
    <cellStyle name="Calculation 2 4" xfId="97" xr:uid="{00000000-0005-0000-0000-00006A000000}"/>
    <cellStyle name="Check Cell 2" xfId="98" xr:uid="{00000000-0005-0000-0000-00006B000000}"/>
    <cellStyle name="Check Cell 2 2 2 2" xfId="99" xr:uid="{00000000-0005-0000-0000-00006C000000}"/>
    <cellStyle name="Comma [0]7Z_87C" xfId="100" xr:uid="{00000000-0005-0000-0000-00006D000000}"/>
    <cellStyle name="Comma 0" xfId="101" xr:uid="{00000000-0005-0000-0000-00006E000000}"/>
    <cellStyle name="Comma 1" xfId="102" xr:uid="{00000000-0005-0000-0000-00006F000000}"/>
    <cellStyle name="Comma 1 2" xfId="103" xr:uid="{00000000-0005-0000-0000-000070000000}"/>
    <cellStyle name="Comma 10" xfId="104" xr:uid="{00000000-0005-0000-0000-000071000000}"/>
    <cellStyle name="Comma 11" xfId="105" xr:uid="{00000000-0005-0000-0000-000072000000}"/>
    <cellStyle name="Comma 2" xfId="106" xr:uid="{00000000-0005-0000-0000-000073000000}"/>
    <cellStyle name="Comma 2 2" xfId="107" xr:uid="{00000000-0005-0000-0000-000074000000}"/>
    <cellStyle name="Comma 2 2 2" xfId="108" xr:uid="{00000000-0005-0000-0000-000075000000}"/>
    <cellStyle name="Comma 2 2 3" xfId="109" xr:uid="{00000000-0005-0000-0000-000076000000}"/>
    <cellStyle name="Comma 2 2 4" xfId="110" xr:uid="{00000000-0005-0000-0000-000077000000}"/>
    <cellStyle name="Comma 2 3" xfId="111" xr:uid="{00000000-0005-0000-0000-000078000000}"/>
    <cellStyle name="Comma 2 3 2" xfId="112" xr:uid="{00000000-0005-0000-0000-000079000000}"/>
    <cellStyle name="Comma 2 3 3" xfId="113" xr:uid="{00000000-0005-0000-0000-00007A000000}"/>
    <cellStyle name="Comma 2 4" xfId="114" xr:uid="{00000000-0005-0000-0000-00007B000000}"/>
    <cellStyle name="Comma 2 5" xfId="115" xr:uid="{00000000-0005-0000-0000-00007C000000}"/>
    <cellStyle name="Comma 2 6" xfId="116" xr:uid="{00000000-0005-0000-0000-00007D000000}"/>
    <cellStyle name="Comma 2 7" xfId="117" xr:uid="{00000000-0005-0000-0000-00007E000000}"/>
    <cellStyle name="Comma 2 8" xfId="118" xr:uid="{00000000-0005-0000-0000-00007F000000}"/>
    <cellStyle name="Comma 3" xfId="119" xr:uid="{00000000-0005-0000-0000-000080000000}"/>
    <cellStyle name="Comma 3 2" xfId="120" xr:uid="{00000000-0005-0000-0000-000081000000}"/>
    <cellStyle name="Comma 3 2 2" xfId="121" xr:uid="{00000000-0005-0000-0000-000082000000}"/>
    <cellStyle name="Comma 3 2 3" xfId="122" xr:uid="{00000000-0005-0000-0000-000083000000}"/>
    <cellStyle name="Comma 3 3" xfId="123" xr:uid="{00000000-0005-0000-0000-000084000000}"/>
    <cellStyle name="Comma 3 3 2" xfId="124" xr:uid="{00000000-0005-0000-0000-000085000000}"/>
    <cellStyle name="Comma 3 3 3" xfId="125" xr:uid="{00000000-0005-0000-0000-000086000000}"/>
    <cellStyle name="Comma 3 4" xfId="126" xr:uid="{00000000-0005-0000-0000-000087000000}"/>
    <cellStyle name="Comma 3 5" xfId="127" xr:uid="{00000000-0005-0000-0000-000088000000}"/>
    <cellStyle name="Comma 3 6" xfId="128" xr:uid="{00000000-0005-0000-0000-000089000000}"/>
    <cellStyle name="Comma 4" xfId="129" xr:uid="{00000000-0005-0000-0000-00008A000000}"/>
    <cellStyle name="Comma 4 2" xfId="130" xr:uid="{00000000-0005-0000-0000-00008B000000}"/>
    <cellStyle name="Comma 5" xfId="131" xr:uid="{00000000-0005-0000-0000-00008C000000}"/>
    <cellStyle name="Comma 6" xfId="132" xr:uid="{00000000-0005-0000-0000-00008D000000}"/>
    <cellStyle name="Comma 7" xfId="133" xr:uid="{00000000-0005-0000-0000-00008E000000}"/>
    <cellStyle name="Comma 8" xfId="134" xr:uid="{00000000-0005-0000-0000-00008F000000}"/>
    <cellStyle name="Comma 9" xfId="135" xr:uid="{00000000-0005-0000-0000-000090000000}"/>
    <cellStyle name="Comma 9 2" xfId="136" xr:uid="{00000000-0005-0000-0000-000091000000}"/>
    <cellStyle name="Comma 9 3" xfId="137" xr:uid="{00000000-0005-0000-0000-000092000000}"/>
    <cellStyle name="Comma0" xfId="138" xr:uid="{00000000-0005-0000-0000-000093000000}"/>
    <cellStyle name="Currency 11" xfId="139" xr:uid="{00000000-0005-0000-0000-000094000000}"/>
    <cellStyle name="Currency 11 2" xfId="140" xr:uid="{00000000-0005-0000-0000-000095000000}"/>
    <cellStyle name="Currency 11 3" xfId="141" xr:uid="{00000000-0005-0000-0000-000096000000}"/>
    <cellStyle name="Currency 2" xfId="142" xr:uid="{00000000-0005-0000-0000-000097000000}"/>
    <cellStyle name="Currency 2 2" xfId="143" xr:uid="{00000000-0005-0000-0000-000098000000}"/>
    <cellStyle name="Currency 2 3" xfId="144" xr:uid="{00000000-0005-0000-0000-000099000000}"/>
    <cellStyle name="Currency 3" xfId="145" xr:uid="{00000000-0005-0000-0000-00009A000000}"/>
    <cellStyle name="Currency 3 2" xfId="146" xr:uid="{00000000-0005-0000-0000-00009B000000}"/>
    <cellStyle name="Currency 4" xfId="147" xr:uid="{00000000-0005-0000-0000-00009C000000}"/>
    <cellStyle name="Currency 4 2" xfId="148" xr:uid="{00000000-0005-0000-0000-00009D000000}"/>
    <cellStyle name="Currency 5" xfId="149" xr:uid="{00000000-0005-0000-0000-00009E000000}"/>
    <cellStyle name="Currency 6" xfId="150" xr:uid="{00000000-0005-0000-0000-00009F000000}"/>
    <cellStyle name="Currency 6 2" xfId="151" xr:uid="{00000000-0005-0000-0000-0000A0000000}"/>
    <cellStyle name="Currency 6 3" xfId="152" xr:uid="{00000000-0005-0000-0000-0000A1000000}"/>
    <cellStyle name="Currency 7" xfId="153" xr:uid="{00000000-0005-0000-0000-0000A2000000}"/>
    <cellStyle name="Currency 8" xfId="154" xr:uid="{00000000-0005-0000-0000-0000A3000000}"/>
    <cellStyle name="D4_B8B1_005004B79812_.wvu.PrintTitlest" xfId="155" xr:uid="{00000000-0005-0000-0000-0000A4000000}"/>
    <cellStyle name="Date" xfId="156" xr:uid="{00000000-0005-0000-0000-0000A5000000}"/>
    <cellStyle name="Date 2" xfId="157" xr:uid="{00000000-0005-0000-0000-0000A6000000}"/>
    <cellStyle name="dms_Blue_HDR" xfId="158" xr:uid="{00000000-0005-0000-0000-0000A7000000}"/>
    <cellStyle name="Emphasis 1" xfId="159" xr:uid="{00000000-0005-0000-0000-0000A8000000}"/>
    <cellStyle name="Emphasis 2" xfId="160" xr:uid="{00000000-0005-0000-0000-0000A9000000}"/>
    <cellStyle name="Emphasis 3" xfId="161" xr:uid="{00000000-0005-0000-0000-0000AA000000}"/>
    <cellStyle name="Euro" xfId="162" xr:uid="{00000000-0005-0000-0000-0000AB000000}"/>
    <cellStyle name="Explanatory Text 2" xfId="163" xr:uid="{00000000-0005-0000-0000-0000AC000000}"/>
    <cellStyle name="Fixed" xfId="164" xr:uid="{00000000-0005-0000-0000-0000AD000000}"/>
    <cellStyle name="Fixed 2" xfId="165" xr:uid="{00000000-0005-0000-0000-0000AE000000}"/>
    <cellStyle name="Gilsans" xfId="166" xr:uid="{00000000-0005-0000-0000-0000AF000000}"/>
    <cellStyle name="Gilsansl" xfId="167" xr:uid="{00000000-0005-0000-0000-0000B0000000}"/>
    <cellStyle name="Good 2" xfId="168" xr:uid="{00000000-0005-0000-0000-0000B1000000}"/>
    <cellStyle name="Heading 1 2" xfId="169" xr:uid="{00000000-0005-0000-0000-0000B2000000}"/>
    <cellStyle name="Heading 1 2 2" xfId="170" xr:uid="{00000000-0005-0000-0000-0000B3000000}"/>
    <cellStyle name="Heading 1 3" xfId="171" xr:uid="{00000000-0005-0000-0000-0000B4000000}"/>
    <cellStyle name="Heading 2 2" xfId="172" xr:uid="{00000000-0005-0000-0000-0000B5000000}"/>
    <cellStyle name="Heading 2 2 2" xfId="173" xr:uid="{00000000-0005-0000-0000-0000B6000000}"/>
    <cellStyle name="Heading 2 3" xfId="174" xr:uid="{00000000-0005-0000-0000-0000B7000000}"/>
    <cellStyle name="Heading 3 2" xfId="175" xr:uid="{00000000-0005-0000-0000-0000B8000000}"/>
    <cellStyle name="Heading 3 2 2" xfId="176" xr:uid="{00000000-0005-0000-0000-0000B9000000}"/>
    <cellStyle name="Heading 3 2 2 2" xfId="177" xr:uid="{00000000-0005-0000-0000-0000BA000000}"/>
    <cellStyle name="Heading 3 2 2 2 2" xfId="178" xr:uid="{00000000-0005-0000-0000-0000BB000000}"/>
    <cellStyle name="Heading 3 2 2 2 2 2" xfId="179" xr:uid="{00000000-0005-0000-0000-0000BC000000}"/>
    <cellStyle name="Heading 3 2 2 2 2 2 2" xfId="180" xr:uid="{00000000-0005-0000-0000-0000BD000000}"/>
    <cellStyle name="Heading 3 2 2 2 2 2 3" xfId="181" xr:uid="{00000000-0005-0000-0000-0000BE000000}"/>
    <cellStyle name="Heading 3 2 2 2 2 3" xfId="182" xr:uid="{00000000-0005-0000-0000-0000BF000000}"/>
    <cellStyle name="Heading 3 2 2 2 2 3 2" xfId="183" xr:uid="{00000000-0005-0000-0000-0000C0000000}"/>
    <cellStyle name="Heading 3 2 2 2 2 3 3" xfId="184" xr:uid="{00000000-0005-0000-0000-0000C1000000}"/>
    <cellStyle name="Heading 3 2 2 2 2 4" xfId="185" xr:uid="{00000000-0005-0000-0000-0000C2000000}"/>
    <cellStyle name="Heading 3 2 2 2 2 4 2" xfId="186" xr:uid="{00000000-0005-0000-0000-0000C3000000}"/>
    <cellStyle name="Heading 3 2 2 2 2 5" xfId="187" xr:uid="{00000000-0005-0000-0000-0000C4000000}"/>
    <cellStyle name="Heading 3 2 2 2 2 6" xfId="188" xr:uid="{00000000-0005-0000-0000-0000C5000000}"/>
    <cellStyle name="Heading 3 2 2 2 3" xfId="189" xr:uid="{00000000-0005-0000-0000-0000C6000000}"/>
    <cellStyle name="Heading 3 2 2 2 3 2" xfId="190" xr:uid="{00000000-0005-0000-0000-0000C7000000}"/>
    <cellStyle name="Heading 3 2 2 2 3 3" xfId="191" xr:uid="{00000000-0005-0000-0000-0000C8000000}"/>
    <cellStyle name="Heading 3 2 2 2 4" xfId="192" xr:uid="{00000000-0005-0000-0000-0000C9000000}"/>
    <cellStyle name="Heading 3 2 2 2 4 2" xfId="193" xr:uid="{00000000-0005-0000-0000-0000CA000000}"/>
    <cellStyle name="Heading 3 2 2 2 4 3" xfId="194" xr:uid="{00000000-0005-0000-0000-0000CB000000}"/>
    <cellStyle name="Heading 3 2 2 2 5" xfId="195" xr:uid="{00000000-0005-0000-0000-0000CC000000}"/>
    <cellStyle name="Heading 3 2 2 2 5 2" xfId="196" xr:uid="{00000000-0005-0000-0000-0000CD000000}"/>
    <cellStyle name="Heading 3 2 2 2 6" xfId="197" xr:uid="{00000000-0005-0000-0000-0000CE000000}"/>
    <cellStyle name="Heading 3 2 2 3" xfId="198" xr:uid="{00000000-0005-0000-0000-0000CF000000}"/>
    <cellStyle name="Heading 3 2 2 3 2" xfId="199" xr:uid="{00000000-0005-0000-0000-0000D0000000}"/>
    <cellStyle name="Heading 3 2 2 3 2 2" xfId="200" xr:uid="{00000000-0005-0000-0000-0000D1000000}"/>
    <cellStyle name="Heading 3 2 2 3 2 2 2" xfId="201" xr:uid="{00000000-0005-0000-0000-0000D2000000}"/>
    <cellStyle name="Heading 3 2 2 3 2 2 3" xfId="202" xr:uid="{00000000-0005-0000-0000-0000D3000000}"/>
    <cellStyle name="Heading 3 2 2 3 2 3" xfId="203" xr:uid="{00000000-0005-0000-0000-0000D4000000}"/>
    <cellStyle name="Heading 3 2 2 3 2 3 2" xfId="204" xr:uid="{00000000-0005-0000-0000-0000D5000000}"/>
    <cellStyle name="Heading 3 2 2 3 2 3 3" xfId="205" xr:uid="{00000000-0005-0000-0000-0000D6000000}"/>
    <cellStyle name="Heading 3 2 2 3 2 4" xfId="206" xr:uid="{00000000-0005-0000-0000-0000D7000000}"/>
    <cellStyle name="Heading 3 2 2 3 2 4 2" xfId="207" xr:uid="{00000000-0005-0000-0000-0000D8000000}"/>
    <cellStyle name="Heading 3 2 2 3 2 5" xfId="208" xr:uid="{00000000-0005-0000-0000-0000D9000000}"/>
    <cellStyle name="Heading 3 2 2 3 2 6" xfId="209" xr:uid="{00000000-0005-0000-0000-0000DA000000}"/>
    <cellStyle name="Heading 3 2 2 3 3" xfId="210" xr:uid="{00000000-0005-0000-0000-0000DB000000}"/>
    <cellStyle name="Heading 3 2 2 3 3 2" xfId="211" xr:uid="{00000000-0005-0000-0000-0000DC000000}"/>
    <cellStyle name="Heading 3 2 2 3 3 3" xfId="212" xr:uid="{00000000-0005-0000-0000-0000DD000000}"/>
    <cellStyle name="Heading 3 2 2 3 4" xfId="213" xr:uid="{00000000-0005-0000-0000-0000DE000000}"/>
    <cellStyle name="Heading 3 2 2 3 4 2" xfId="214" xr:uid="{00000000-0005-0000-0000-0000DF000000}"/>
    <cellStyle name="Heading 3 2 2 3 4 3" xfId="215" xr:uid="{00000000-0005-0000-0000-0000E0000000}"/>
    <cellStyle name="Heading 3 2 2 3 5" xfId="216" xr:uid="{00000000-0005-0000-0000-0000E1000000}"/>
    <cellStyle name="Heading 3 2 2 3 5 2" xfId="217" xr:uid="{00000000-0005-0000-0000-0000E2000000}"/>
    <cellStyle name="Heading 3 2 2 3 6" xfId="218" xr:uid="{00000000-0005-0000-0000-0000E3000000}"/>
    <cellStyle name="Heading 3 2 2 4" xfId="219" xr:uid="{00000000-0005-0000-0000-0000E4000000}"/>
    <cellStyle name="Heading 3 2 2 4 2" xfId="220" xr:uid="{00000000-0005-0000-0000-0000E5000000}"/>
    <cellStyle name="Heading 3 2 2 4 2 2" xfId="221" xr:uid="{00000000-0005-0000-0000-0000E6000000}"/>
    <cellStyle name="Heading 3 2 2 4 2 3" xfId="222" xr:uid="{00000000-0005-0000-0000-0000E7000000}"/>
    <cellStyle name="Heading 3 2 2 4 3" xfId="223" xr:uid="{00000000-0005-0000-0000-0000E8000000}"/>
    <cellStyle name="Heading 3 2 2 4 3 2" xfId="224" xr:uid="{00000000-0005-0000-0000-0000E9000000}"/>
    <cellStyle name="Heading 3 2 2 4 3 3" xfId="225" xr:uid="{00000000-0005-0000-0000-0000EA000000}"/>
    <cellStyle name="Heading 3 2 2 4 4" xfId="226" xr:uid="{00000000-0005-0000-0000-0000EB000000}"/>
    <cellStyle name="Heading 3 2 2 4 4 2" xfId="227" xr:uid="{00000000-0005-0000-0000-0000EC000000}"/>
    <cellStyle name="Heading 3 2 2 4 5" xfId="228" xr:uid="{00000000-0005-0000-0000-0000ED000000}"/>
    <cellStyle name="Heading 3 2 2 4 6" xfId="229" xr:uid="{00000000-0005-0000-0000-0000EE000000}"/>
    <cellStyle name="Heading 3 2 2 5" xfId="230" xr:uid="{00000000-0005-0000-0000-0000EF000000}"/>
    <cellStyle name="Heading 3 2 2 5 2" xfId="231" xr:uid="{00000000-0005-0000-0000-0000F0000000}"/>
    <cellStyle name="Heading 3 2 2 5 2 2" xfId="232" xr:uid="{00000000-0005-0000-0000-0000F1000000}"/>
    <cellStyle name="Heading 3 2 2 5 2 3" xfId="233" xr:uid="{00000000-0005-0000-0000-0000F2000000}"/>
    <cellStyle name="Heading 3 2 2 5 3" xfId="234" xr:uid="{00000000-0005-0000-0000-0000F3000000}"/>
    <cellStyle name="Heading 3 2 2 5 3 2" xfId="235" xr:uid="{00000000-0005-0000-0000-0000F4000000}"/>
    <cellStyle name="Heading 3 2 2 5 4" xfId="236" xr:uid="{00000000-0005-0000-0000-0000F5000000}"/>
    <cellStyle name="Heading 3 2 2 5 5" xfId="237" xr:uid="{00000000-0005-0000-0000-0000F6000000}"/>
    <cellStyle name="Heading 3 2 2 6" xfId="238" xr:uid="{00000000-0005-0000-0000-0000F7000000}"/>
    <cellStyle name="Heading 3 2 3" xfId="239" xr:uid="{00000000-0005-0000-0000-0000F8000000}"/>
    <cellStyle name="Heading 3 2 4" xfId="240" xr:uid="{00000000-0005-0000-0000-0000F9000000}"/>
    <cellStyle name="Heading 3 2 4 2" xfId="241" xr:uid="{00000000-0005-0000-0000-0000FA000000}"/>
    <cellStyle name="Heading 3 2 4 2 2" xfId="242" xr:uid="{00000000-0005-0000-0000-0000FB000000}"/>
    <cellStyle name="Heading 3 2 4 2 2 2" xfId="243" xr:uid="{00000000-0005-0000-0000-0000FC000000}"/>
    <cellStyle name="Heading 3 2 4 2 2 3" xfId="244" xr:uid="{00000000-0005-0000-0000-0000FD000000}"/>
    <cellStyle name="Heading 3 2 4 2 3" xfId="245" xr:uid="{00000000-0005-0000-0000-0000FE000000}"/>
    <cellStyle name="Heading 3 2 4 2 3 2" xfId="246" xr:uid="{00000000-0005-0000-0000-0000FF000000}"/>
    <cellStyle name="Heading 3 2 4 2 3 3" xfId="247" xr:uid="{00000000-0005-0000-0000-000000010000}"/>
    <cellStyle name="Heading 3 2 4 2 4" xfId="248" xr:uid="{00000000-0005-0000-0000-000001010000}"/>
    <cellStyle name="Heading 3 2 4 2 4 2" xfId="249" xr:uid="{00000000-0005-0000-0000-000002010000}"/>
    <cellStyle name="Heading 3 2 4 2 5" xfId="250" xr:uid="{00000000-0005-0000-0000-000003010000}"/>
    <cellStyle name="Heading 3 2 4 2 6" xfId="251" xr:uid="{00000000-0005-0000-0000-000004010000}"/>
    <cellStyle name="Heading 3 2 4 3" xfId="252" xr:uid="{00000000-0005-0000-0000-000005010000}"/>
    <cellStyle name="Heading 3 2 4 3 2" xfId="253" xr:uid="{00000000-0005-0000-0000-000006010000}"/>
    <cellStyle name="Heading 3 2 4 3 3" xfId="254" xr:uid="{00000000-0005-0000-0000-000007010000}"/>
    <cellStyle name="Heading 3 2 4 4" xfId="255" xr:uid="{00000000-0005-0000-0000-000008010000}"/>
    <cellStyle name="Heading 3 2 4 4 2" xfId="256" xr:uid="{00000000-0005-0000-0000-000009010000}"/>
    <cellStyle name="Heading 3 2 4 4 3" xfId="257" xr:uid="{00000000-0005-0000-0000-00000A010000}"/>
    <cellStyle name="Heading 3 2 4 5" xfId="258" xr:uid="{00000000-0005-0000-0000-00000B010000}"/>
    <cellStyle name="Heading 3 2 4 5 2" xfId="259" xr:uid="{00000000-0005-0000-0000-00000C010000}"/>
    <cellStyle name="Heading 3 2 4 6" xfId="260" xr:uid="{00000000-0005-0000-0000-00000D010000}"/>
    <cellStyle name="Heading 3 2 5" xfId="261" xr:uid="{00000000-0005-0000-0000-00000E010000}"/>
    <cellStyle name="Heading 3 2 5 2" xfId="262" xr:uid="{00000000-0005-0000-0000-00000F010000}"/>
    <cellStyle name="Heading 3 2 5 2 2" xfId="263" xr:uid="{00000000-0005-0000-0000-000010010000}"/>
    <cellStyle name="Heading 3 2 5 2 2 2" xfId="264" xr:uid="{00000000-0005-0000-0000-000011010000}"/>
    <cellStyle name="Heading 3 2 5 2 2 3" xfId="265" xr:uid="{00000000-0005-0000-0000-000012010000}"/>
    <cellStyle name="Heading 3 2 5 2 3" xfId="266" xr:uid="{00000000-0005-0000-0000-000013010000}"/>
    <cellStyle name="Heading 3 2 5 2 3 2" xfId="267" xr:uid="{00000000-0005-0000-0000-000014010000}"/>
    <cellStyle name="Heading 3 2 5 2 3 3" xfId="268" xr:uid="{00000000-0005-0000-0000-000015010000}"/>
    <cellStyle name="Heading 3 2 5 2 4" xfId="269" xr:uid="{00000000-0005-0000-0000-000016010000}"/>
    <cellStyle name="Heading 3 2 5 2 4 2" xfId="270" xr:uid="{00000000-0005-0000-0000-000017010000}"/>
    <cellStyle name="Heading 3 2 5 2 5" xfId="271" xr:uid="{00000000-0005-0000-0000-000018010000}"/>
    <cellStyle name="Heading 3 2 5 2 6" xfId="272" xr:uid="{00000000-0005-0000-0000-000019010000}"/>
    <cellStyle name="Heading 3 2 5 3" xfId="273" xr:uid="{00000000-0005-0000-0000-00001A010000}"/>
    <cellStyle name="Heading 3 2 5 3 2" xfId="274" xr:uid="{00000000-0005-0000-0000-00001B010000}"/>
    <cellStyle name="Heading 3 2 5 3 3" xfId="275" xr:uid="{00000000-0005-0000-0000-00001C010000}"/>
    <cellStyle name="Heading 3 2 5 4" xfId="276" xr:uid="{00000000-0005-0000-0000-00001D010000}"/>
    <cellStyle name="Heading 3 2 5 4 2" xfId="277" xr:uid="{00000000-0005-0000-0000-00001E010000}"/>
    <cellStyle name="Heading 3 2 5 4 3" xfId="278" xr:uid="{00000000-0005-0000-0000-00001F010000}"/>
    <cellStyle name="Heading 3 2 5 5" xfId="279" xr:uid="{00000000-0005-0000-0000-000020010000}"/>
    <cellStyle name="Heading 3 2 5 5 2" xfId="280" xr:uid="{00000000-0005-0000-0000-000021010000}"/>
    <cellStyle name="Heading 3 2 5 6" xfId="281" xr:uid="{00000000-0005-0000-0000-000022010000}"/>
    <cellStyle name="Heading 3 2 6" xfId="282" xr:uid="{00000000-0005-0000-0000-000023010000}"/>
    <cellStyle name="Heading 3 2 6 2" xfId="283" xr:uid="{00000000-0005-0000-0000-000024010000}"/>
    <cellStyle name="Heading 3 2 6 2 2" xfId="284" xr:uid="{00000000-0005-0000-0000-000025010000}"/>
    <cellStyle name="Heading 3 2 6 2 3" xfId="285" xr:uid="{00000000-0005-0000-0000-000026010000}"/>
    <cellStyle name="Heading 3 2 6 3" xfId="286" xr:uid="{00000000-0005-0000-0000-000027010000}"/>
    <cellStyle name="Heading 3 2 6 3 2" xfId="287" xr:uid="{00000000-0005-0000-0000-000028010000}"/>
    <cellStyle name="Heading 3 2 6 3 3" xfId="288" xr:uid="{00000000-0005-0000-0000-000029010000}"/>
    <cellStyle name="Heading 3 2 6 4" xfId="289" xr:uid="{00000000-0005-0000-0000-00002A010000}"/>
    <cellStyle name="Heading 3 2 6 4 2" xfId="290" xr:uid="{00000000-0005-0000-0000-00002B010000}"/>
    <cellStyle name="Heading 3 2 6 5" xfId="291" xr:uid="{00000000-0005-0000-0000-00002C010000}"/>
    <cellStyle name="Heading 3 2 6 6" xfId="292" xr:uid="{00000000-0005-0000-0000-00002D010000}"/>
    <cellStyle name="Heading 3 2 7" xfId="293" xr:uid="{00000000-0005-0000-0000-00002E010000}"/>
    <cellStyle name="Heading 3 2 7 2" xfId="294" xr:uid="{00000000-0005-0000-0000-00002F010000}"/>
    <cellStyle name="Heading 3 2 7 2 2" xfId="295" xr:uid="{00000000-0005-0000-0000-000030010000}"/>
    <cellStyle name="Heading 3 2 7 2 3" xfId="296" xr:uid="{00000000-0005-0000-0000-000031010000}"/>
    <cellStyle name="Heading 3 2 7 3" xfId="297" xr:uid="{00000000-0005-0000-0000-000032010000}"/>
    <cellStyle name="Heading 3 2 7 3 2" xfId="298" xr:uid="{00000000-0005-0000-0000-000033010000}"/>
    <cellStyle name="Heading 3 2 7 4" xfId="299" xr:uid="{00000000-0005-0000-0000-000034010000}"/>
    <cellStyle name="Heading 3 2 7 5" xfId="300" xr:uid="{00000000-0005-0000-0000-000035010000}"/>
    <cellStyle name="Heading 3 2 8" xfId="301" xr:uid="{00000000-0005-0000-0000-000036010000}"/>
    <cellStyle name="Heading 3 3" xfId="302" xr:uid="{00000000-0005-0000-0000-000037010000}"/>
    <cellStyle name="Heading 4 2" xfId="303" xr:uid="{00000000-0005-0000-0000-000038010000}"/>
    <cellStyle name="Heading 4 2 2" xfId="304" xr:uid="{00000000-0005-0000-0000-000039010000}"/>
    <cellStyle name="Heading 4 3" xfId="305" xr:uid="{00000000-0005-0000-0000-00003A010000}"/>
    <cellStyle name="Heading(4)" xfId="306" xr:uid="{00000000-0005-0000-0000-00003B010000}"/>
    <cellStyle name="Hyperlink 2" xfId="307" xr:uid="{00000000-0005-0000-0000-00003C010000}"/>
    <cellStyle name="Hyperlink 2 2" xfId="308" xr:uid="{00000000-0005-0000-0000-00003D010000}"/>
    <cellStyle name="Hyperlink 2 3" xfId="309" xr:uid="{00000000-0005-0000-0000-00003E010000}"/>
    <cellStyle name="Hyperlink 2 4" xfId="310" xr:uid="{00000000-0005-0000-0000-00003F010000}"/>
    <cellStyle name="Hyperlink 3" xfId="311" xr:uid="{00000000-0005-0000-0000-000040010000}"/>
    <cellStyle name="Hyperlink 4" xfId="312" xr:uid="{00000000-0005-0000-0000-000041010000}"/>
    <cellStyle name="Hyperlink Arrow" xfId="313" xr:uid="{00000000-0005-0000-0000-000042010000}"/>
    <cellStyle name="Hyperlink Text" xfId="314" xr:uid="{00000000-0005-0000-0000-000043010000}"/>
    <cellStyle name="import" xfId="315" xr:uid="{00000000-0005-0000-0000-000044010000}"/>
    <cellStyle name="import%" xfId="316" xr:uid="{00000000-0005-0000-0000-000045010000}"/>
    <cellStyle name="import_ICRC Electricity model 1-1  (1 Feb 2003) " xfId="317" xr:uid="{00000000-0005-0000-0000-000046010000}"/>
    <cellStyle name="Input 2" xfId="318" xr:uid="{00000000-0005-0000-0000-000047010000}"/>
    <cellStyle name="Input 2 2" xfId="319" xr:uid="{00000000-0005-0000-0000-000048010000}"/>
    <cellStyle name="Input 2 2 2" xfId="320" xr:uid="{00000000-0005-0000-0000-000049010000}"/>
    <cellStyle name="Input 2 3" xfId="321" xr:uid="{00000000-0005-0000-0000-00004A010000}"/>
    <cellStyle name="Input 2 3 2" xfId="322" xr:uid="{00000000-0005-0000-0000-00004B010000}"/>
    <cellStyle name="Input 2 3 3" xfId="323" xr:uid="{00000000-0005-0000-0000-00004C010000}"/>
    <cellStyle name="Input 2 4" xfId="324" xr:uid="{00000000-0005-0000-0000-00004D010000}"/>
    <cellStyle name="Input1" xfId="325" xr:uid="{00000000-0005-0000-0000-00004E010000}"/>
    <cellStyle name="Input1 2" xfId="326" xr:uid="{00000000-0005-0000-0000-00004F010000}"/>
    <cellStyle name="Input1 2 2" xfId="327" xr:uid="{00000000-0005-0000-0000-000050010000}"/>
    <cellStyle name="Input1 3" xfId="328" xr:uid="{00000000-0005-0000-0000-000051010000}"/>
    <cellStyle name="Input1 3 2" xfId="329" xr:uid="{00000000-0005-0000-0000-000052010000}"/>
    <cellStyle name="Input1 4" xfId="330" xr:uid="{00000000-0005-0000-0000-000053010000}"/>
    <cellStyle name="Input1 5" xfId="331" xr:uid="{00000000-0005-0000-0000-000054010000}"/>
    <cellStyle name="Input1%" xfId="332" xr:uid="{00000000-0005-0000-0000-000055010000}"/>
    <cellStyle name="Input1_ICRC Electricity model 1-1  (1 Feb 2003) " xfId="333" xr:uid="{00000000-0005-0000-0000-000056010000}"/>
    <cellStyle name="Input1default" xfId="334" xr:uid="{00000000-0005-0000-0000-000057010000}"/>
    <cellStyle name="Input1default%" xfId="335" xr:uid="{00000000-0005-0000-0000-000058010000}"/>
    <cellStyle name="Input2" xfId="336" xr:uid="{00000000-0005-0000-0000-000059010000}"/>
    <cellStyle name="Input2 2" xfId="337" xr:uid="{00000000-0005-0000-0000-00005A010000}"/>
    <cellStyle name="Input2 3" xfId="338" xr:uid="{00000000-0005-0000-0000-00005B010000}"/>
    <cellStyle name="Input3" xfId="339" xr:uid="{00000000-0005-0000-0000-00005C010000}"/>
    <cellStyle name="Input3 2" xfId="340" xr:uid="{00000000-0005-0000-0000-00005D010000}"/>
    <cellStyle name="Input3 3" xfId="341" xr:uid="{00000000-0005-0000-0000-00005E010000}"/>
    <cellStyle name="InputCell" xfId="342" xr:uid="{00000000-0005-0000-0000-00005F010000}"/>
    <cellStyle name="InputCell 2" xfId="343" xr:uid="{00000000-0005-0000-0000-000060010000}"/>
    <cellStyle name="InputCell 3" xfId="344" xr:uid="{00000000-0005-0000-0000-000061010000}"/>
    <cellStyle name="InputCellText" xfId="345" xr:uid="{00000000-0005-0000-0000-000062010000}"/>
    <cellStyle name="InputCellText 2" xfId="346" xr:uid="{00000000-0005-0000-0000-000063010000}"/>
    <cellStyle name="InputCellText 3" xfId="347" xr:uid="{00000000-0005-0000-0000-000064010000}"/>
    <cellStyle name="key result" xfId="348" xr:uid="{00000000-0005-0000-0000-000065010000}"/>
    <cellStyle name="Lines" xfId="349" xr:uid="{00000000-0005-0000-0000-000066010000}"/>
    <cellStyle name="Linked Cell 2" xfId="350" xr:uid="{00000000-0005-0000-0000-000067010000}"/>
    <cellStyle name="Local import" xfId="351" xr:uid="{00000000-0005-0000-0000-000068010000}"/>
    <cellStyle name="Local import %" xfId="352" xr:uid="{00000000-0005-0000-0000-000069010000}"/>
    <cellStyle name="Mine" xfId="353" xr:uid="{00000000-0005-0000-0000-00006A010000}"/>
    <cellStyle name="Model Name" xfId="354" xr:uid="{00000000-0005-0000-0000-00006B010000}"/>
    <cellStyle name="Neutral 2" xfId="355" xr:uid="{00000000-0005-0000-0000-00006C010000}"/>
    <cellStyle name="NonInputCell" xfId="356" xr:uid="{00000000-0005-0000-0000-00006D010000}"/>
    <cellStyle name="NonInputCell 2" xfId="357" xr:uid="{00000000-0005-0000-0000-00006E010000}"/>
    <cellStyle name="NonInputCell 3" xfId="358" xr:uid="{00000000-0005-0000-0000-00006F010000}"/>
    <cellStyle name="Normal" xfId="0" builtinId="0"/>
    <cellStyle name="Normal - Style1" xfId="359" xr:uid="{00000000-0005-0000-0000-000071010000}"/>
    <cellStyle name="Normal 10" xfId="4" xr:uid="{00000000-0005-0000-0000-000072010000}"/>
    <cellStyle name="Normal 10 2" xfId="360" xr:uid="{00000000-0005-0000-0000-000073010000}"/>
    <cellStyle name="Normal 10 2 2 2" xfId="694" xr:uid="{00000000-0005-0000-0000-000074010000}"/>
    <cellStyle name="Normal 10 2 2 2 7" xfId="706" xr:uid="{00000000-0005-0000-0000-000075010000}"/>
    <cellStyle name="Normal 11" xfId="361" xr:uid="{00000000-0005-0000-0000-000076010000}"/>
    <cellStyle name="Normal 11 2" xfId="362" xr:uid="{00000000-0005-0000-0000-000077010000}"/>
    <cellStyle name="Normal 11 3" xfId="363" xr:uid="{00000000-0005-0000-0000-000078010000}"/>
    <cellStyle name="Normal 11 4" xfId="364" xr:uid="{00000000-0005-0000-0000-000079010000}"/>
    <cellStyle name="Normal 114" xfId="365" xr:uid="{00000000-0005-0000-0000-00007A010000}"/>
    <cellStyle name="Normal 114 2" xfId="366" xr:uid="{00000000-0005-0000-0000-00007B010000}"/>
    <cellStyle name="Normal 12" xfId="367" xr:uid="{00000000-0005-0000-0000-00007C010000}"/>
    <cellStyle name="Normal 12 2" xfId="368" xr:uid="{00000000-0005-0000-0000-00007D010000}"/>
    <cellStyle name="Normal 13" xfId="369" xr:uid="{00000000-0005-0000-0000-00007E010000}"/>
    <cellStyle name="Normal 13 2" xfId="2" xr:uid="{00000000-0005-0000-0000-00007F010000}"/>
    <cellStyle name="Normal 13_29(d) - Gas extensions -tariffs" xfId="370" xr:uid="{00000000-0005-0000-0000-000080010000}"/>
    <cellStyle name="Normal 14" xfId="7" xr:uid="{00000000-0005-0000-0000-000081010000}"/>
    <cellStyle name="Normal 14 2" xfId="371" xr:uid="{00000000-0005-0000-0000-000082010000}"/>
    <cellStyle name="Normal 14 3" xfId="372" xr:uid="{00000000-0005-0000-0000-000083010000}"/>
    <cellStyle name="Normal 14 3 2" xfId="373" xr:uid="{00000000-0005-0000-0000-000084010000}"/>
    <cellStyle name="Normal 14 3 3" xfId="374" xr:uid="{00000000-0005-0000-0000-000085010000}"/>
    <cellStyle name="Normal 14 4" xfId="375" xr:uid="{00000000-0005-0000-0000-000086010000}"/>
    <cellStyle name="Normal 14 5" xfId="376" xr:uid="{00000000-0005-0000-0000-000087010000}"/>
    <cellStyle name="Normal 14 9" xfId="708" xr:uid="{00000000-0005-0000-0000-000088010000}"/>
    <cellStyle name="Normal 14 9 2" xfId="710" xr:uid="{00000000-0005-0000-0000-000089010000}"/>
    <cellStyle name="Normal 15" xfId="377" xr:uid="{00000000-0005-0000-0000-00008A010000}"/>
    <cellStyle name="Normal 15 2" xfId="378" xr:uid="{00000000-0005-0000-0000-00008B010000}"/>
    <cellStyle name="Normal 159" xfId="704" xr:uid="{00000000-0005-0000-0000-00008C010000}"/>
    <cellStyle name="Normal 16" xfId="379" xr:uid="{00000000-0005-0000-0000-00008D010000}"/>
    <cellStyle name="Normal 16 2" xfId="380" xr:uid="{00000000-0005-0000-0000-00008E010000}"/>
    <cellStyle name="Normal 16 3" xfId="381" xr:uid="{00000000-0005-0000-0000-00008F010000}"/>
    <cellStyle name="Normal 17" xfId="382" xr:uid="{00000000-0005-0000-0000-000090010000}"/>
    <cellStyle name="Normal 17 2" xfId="383" xr:uid="{00000000-0005-0000-0000-000091010000}"/>
    <cellStyle name="Normal 17 2 2" xfId="384" xr:uid="{00000000-0005-0000-0000-000092010000}"/>
    <cellStyle name="Normal 17 2 2 2" xfId="385" xr:uid="{00000000-0005-0000-0000-000093010000}"/>
    <cellStyle name="Normal 17 2 2 3" xfId="386" xr:uid="{00000000-0005-0000-0000-000094010000}"/>
    <cellStyle name="Normal 17 2 3" xfId="387" xr:uid="{00000000-0005-0000-0000-000095010000}"/>
    <cellStyle name="Normal 17 2 4" xfId="388" xr:uid="{00000000-0005-0000-0000-000096010000}"/>
    <cellStyle name="Normal 17 3" xfId="389" xr:uid="{00000000-0005-0000-0000-000097010000}"/>
    <cellStyle name="Normal 17 3 2" xfId="390" xr:uid="{00000000-0005-0000-0000-000098010000}"/>
    <cellStyle name="Normal 17 3 2 2" xfId="391" xr:uid="{00000000-0005-0000-0000-000099010000}"/>
    <cellStyle name="Normal 17 3 2 3" xfId="392" xr:uid="{00000000-0005-0000-0000-00009A010000}"/>
    <cellStyle name="Normal 17 3 3" xfId="393" xr:uid="{00000000-0005-0000-0000-00009B010000}"/>
    <cellStyle name="Normal 17 3 4" xfId="394" xr:uid="{00000000-0005-0000-0000-00009C010000}"/>
    <cellStyle name="Normal 17 4" xfId="395" xr:uid="{00000000-0005-0000-0000-00009D010000}"/>
    <cellStyle name="Normal 17 4 2" xfId="396" xr:uid="{00000000-0005-0000-0000-00009E010000}"/>
    <cellStyle name="Normal 17 4 3" xfId="397" xr:uid="{00000000-0005-0000-0000-00009F010000}"/>
    <cellStyle name="Normal 17 5" xfId="398" xr:uid="{00000000-0005-0000-0000-0000A0010000}"/>
    <cellStyle name="Normal 17 6" xfId="399" xr:uid="{00000000-0005-0000-0000-0000A1010000}"/>
    <cellStyle name="Normal 18" xfId="400" xr:uid="{00000000-0005-0000-0000-0000A2010000}"/>
    <cellStyle name="Normal 18 2" xfId="401" xr:uid="{00000000-0005-0000-0000-0000A3010000}"/>
    <cellStyle name="Normal 19" xfId="402" xr:uid="{00000000-0005-0000-0000-0000A4010000}"/>
    <cellStyle name="Normal 2" xfId="403" xr:uid="{00000000-0005-0000-0000-0000A5010000}"/>
    <cellStyle name="Normal 2 2" xfId="404" xr:uid="{00000000-0005-0000-0000-0000A6010000}"/>
    <cellStyle name="Normal 2 2 2" xfId="1" xr:uid="{00000000-0005-0000-0000-0000A7010000}"/>
    <cellStyle name="Normal 2 2 3" xfId="405" xr:uid="{00000000-0005-0000-0000-0000A8010000}"/>
    <cellStyle name="Normal 2 2 4" xfId="406" xr:uid="{00000000-0005-0000-0000-0000A9010000}"/>
    <cellStyle name="Normal 2 2 5" xfId="407" xr:uid="{00000000-0005-0000-0000-0000AA010000}"/>
    <cellStyle name="Normal 2 3" xfId="408" xr:uid="{00000000-0005-0000-0000-0000AB010000}"/>
    <cellStyle name="Normal 2 3 2" xfId="409" xr:uid="{00000000-0005-0000-0000-0000AC010000}"/>
    <cellStyle name="Normal 2 3_29(d) - Gas extensions -tariffs" xfId="410" xr:uid="{00000000-0005-0000-0000-0000AD010000}"/>
    <cellStyle name="Normal 2 4" xfId="411" xr:uid="{00000000-0005-0000-0000-0000AE010000}"/>
    <cellStyle name="Normal 2 4 2" xfId="412" xr:uid="{00000000-0005-0000-0000-0000AF010000}"/>
    <cellStyle name="Normal 2 4 3" xfId="413" xr:uid="{00000000-0005-0000-0000-0000B0010000}"/>
    <cellStyle name="Normal 2 5" xfId="8" xr:uid="{00000000-0005-0000-0000-0000B1010000}"/>
    <cellStyle name="Normal 2 6" xfId="414" xr:uid="{00000000-0005-0000-0000-0000B2010000}"/>
    <cellStyle name="Normal 2_29(d) - Gas extensions -tariffs" xfId="415" xr:uid="{00000000-0005-0000-0000-0000B3010000}"/>
    <cellStyle name="Normal 20" xfId="416" xr:uid="{00000000-0005-0000-0000-0000B4010000}"/>
    <cellStyle name="Normal 20 2" xfId="417" xr:uid="{00000000-0005-0000-0000-0000B5010000}"/>
    <cellStyle name="Normal 20 2 2" xfId="418" xr:uid="{00000000-0005-0000-0000-0000B6010000}"/>
    <cellStyle name="Normal 20 3" xfId="419" xr:uid="{00000000-0005-0000-0000-0000B7010000}"/>
    <cellStyle name="Normal 20 4" xfId="420" xr:uid="{00000000-0005-0000-0000-0000B8010000}"/>
    <cellStyle name="Normal 21" xfId="421" xr:uid="{00000000-0005-0000-0000-0000B9010000}"/>
    <cellStyle name="Normal 21 2" xfId="422" xr:uid="{00000000-0005-0000-0000-0000BA010000}"/>
    <cellStyle name="Normal 21 3" xfId="423" xr:uid="{00000000-0005-0000-0000-0000BB010000}"/>
    <cellStyle name="Normal 22" xfId="424" xr:uid="{00000000-0005-0000-0000-0000BC010000}"/>
    <cellStyle name="Normal 23" xfId="425" xr:uid="{00000000-0005-0000-0000-0000BD010000}"/>
    <cellStyle name="Normal 23 2" xfId="426" xr:uid="{00000000-0005-0000-0000-0000BE010000}"/>
    <cellStyle name="Normal 23 2 2" xfId="427" xr:uid="{00000000-0005-0000-0000-0000BF010000}"/>
    <cellStyle name="Normal 23 3" xfId="428" xr:uid="{00000000-0005-0000-0000-0000C0010000}"/>
    <cellStyle name="Normal 23 4" xfId="429" xr:uid="{00000000-0005-0000-0000-0000C1010000}"/>
    <cellStyle name="Normal 24" xfId="430" xr:uid="{00000000-0005-0000-0000-0000C2010000}"/>
    <cellStyle name="Normal 24 2" xfId="431" xr:uid="{00000000-0005-0000-0000-0000C3010000}"/>
    <cellStyle name="Normal 24 2 2" xfId="432" xr:uid="{00000000-0005-0000-0000-0000C4010000}"/>
    <cellStyle name="Normal 24 3" xfId="433" xr:uid="{00000000-0005-0000-0000-0000C5010000}"/>
    <cellStyle name="Normal 24 4" xfId="434" xr:uid="{00000000-0005-0000-0000-0000C6010000}"/>
    <cellStyle name="Normal 25" xfId="435" xr:uid="{00000000-0005-0000-0000-0000C7010000}"/>
    <cellStyle name="Normal 25 2" xfId="436" xr:uid="{00000000-0005-0000-0000-0000C8010000}"/>
    <cellStyle name="Normal 25 2 2" xfId="437" xr:uid="{00000000-0005-0000-0000-0000C9010000}"/>
    <cellStyle name="Normal 25 3" xfId="438" xr:uid="{00000000-0005-0000-0000-0000CA010000}"/>
    <cellStyle name="Normal 25 4" xfId="439" xr:uid="{00000000-0005-0000-0000-0000CB010000}"/>
    <cellStyle name="Normal 26" xfId="440" xr:uid="{00000000-0005-0000-0000-0000CC010000}"/>
    <cellStyle name="Normal 26 2" xfId="441" xr:uid="{00000000-0005-0000-0000-0000CD010000}"/>
    <cellStyle name="Normal 26 2 2" xfId="442" xr:uid="{00000000-0005-0000-0000-0000CE010000}"/>
    <cellStyle name="Normal 26 3" xfId="443" xr:uid="{00000000-0005-0000-0000-0000CF010000}"/>
    <cellStyle name="Normal 26 4" xfId="444" xr:uid="{00000000-0005-0000-0000-0000D0010000}"/>
    <cellStyle name="Normal 27" xfId="445" xr:uid="{00000000-0005-0000-0000-0000D1010000}"/>
    <cellStyle name="Normal 28" xfId="6" xr:uid="{00000000-0005-0000-0000-0000D2010000}"/>
    <cellStyle name="Normal 28 4" xfId="707" xr:uid="{00000000-0005-0000-0000-0000D3010000}"/>
    <cellStyle name="Normal 29" xfId="446" xr:uid="{00000000-0005-0000-0000-0000D4010000}"/>
    <cellStyle name="Normal 3" xfId="447" xr:uid="{00000000-0005-0000-0000-0000D5010000}"/>
    <cellStyle name="Normal 3 2" xfId="448" xr:uid="{00000000-0005-0000-0000-0000D6010000}"/>
    <cellStyle name="Normal 3 2 2" xfId="449" xr:uid="{00000000-0005-0000-0000-0000D7010000}"/>
    <cellStyle name="Normal 3 3" xfId="450" xr:uid="{00000000-0005-0000-0000-0000D8010000}"/>
    <cellStyle name="Normal 3 3 2" xfId="451" xr:uid="{00000000-0005-0000-0000-0000D9010000}"/>
    <cellStyle name="Normal 3 3 3" xfId="452" xr:uid="{00000000-0005-0000-0000-0000DA010000}"/>
    <cellStyle name="Normal 3 4" xfId="453" xr:uid="{00000000-0005-0000-0000-0000DB010000}"/>
    <cellStyle name="Normal 3 5" xfId="454" xr:uid="{00000000-0005-0000-0000-0000DC010000}"/>
    <cellStyle name="Normal 3 5 2" xfId="455" xr:uid="{00000000-0005-0000-0000-0000DD010000}"/>
    <cellStyle name="Normal 3 5 3" xfId="456" xr:uid="{00000000-0005-0000-0000-0000DE010000}"/>
    <cellStyle name="Normal 3_29(d) - Gas extensions -tariffs" xfId="457" xr:uid="{00000000-0005-0000-0000-0000DF010000}"/>
    <cellStyle name="Normal 30" xfId="458" xr:uid="{00000000-0005-0000-0000-0000E0010000}"/>
    <cellStyle name="Normal 31" xfId="459" xr:uid="{00000000-0005-0000-0000-0000E1010000}"/>
    <cellStyle name="Normal 32" xfId="3" xr:uid="{00000000-0005-0000-0000-0000E2010000}"/>
    <cellStyle name="Normal 32 3" xfId="705" xr:uid="{00000000-0005-0000-0000-0000E3010000}"/>
    <cellStyle name="Normal 33" xfId="460" xr:uid="{00000000-0005-0000-0000-0000E4010000}"/>
    <cellStyle name="Normal 34" xfId="461" xr:uid="{00000000-0005-0000-0000-0000E5010000}"/>
    <cellStyle name="Normal 35" xfId="695" xr:uid="{00000000-0005-0000-0000-0000E6010000}"/>
    <cellStyle name="Normal 36" xfId="696" xr:uid="{00000000-0005-0000-0000-0000E7010000}"/>
    <cellStyle name="Normal 37" xfId="697" xr:uid="{00000000-0005-0000-0000-0000E8010000}"/>
    <cellStyle name="Normal 38" xfId="462" xr:uid="{00000000-0005-0000-0000-0000E9010000}"/>
    <cellStyle name="Normal 38 2" xfId="463" xr:uid="{00000000-0005-0000-0000-0000EA010000}"/>
    <cellStyle name="Normal 38_29(d) - Gas extensions -tariffs" xfId="464" xr:uid="{00000000-0005-0000-0000-0000EB010000}"/>
    <cellStyle name="Normal 4" xfId="465" xr:uid="{00000000-0005-0000-0000-0000EC010000}"/>
    <cellStyle name="Normal 4 2" xfId="466" xr:uid="{00000000-0005-0000-0000-0000ED010000}"/>
    <cellStyle name="Normal 4 2 2" xfId="467" xr:uid="{00000000-0005-0000-0000-0000EE010000}"/>
    <cellStyle name="Normal 4 2 2 2" xfId="468" xr:uid="{00000000-0005-0000-0000-0000EF010000}"/>
    <cellStyle name="Normal 4 2 2 2 2" xfId="469" xr:uid="{00000000-0005-0000-0000-0000F0010000}"/>
    <cellStyle name="Normal 4 2 2 2 3" xfId="470" xr:uid="{00000000-0005-0000-0000-0000F1010000}"/>
    <cellStyle name="Normal 4 2 2 3" xfId="471" xr:uid="{00000000-0005-0000-0000-0000F2010000}"/>
    <cellStyle name="Normal 4 2 2 4" xfId="472" xr:uid="{00000000-0005-0000-0000-0000F3010000}"/>
    <cellStyle name="Normal 4 2 3" xfId="473" xr:uid="{00000000-0005-0000-0000-0000F4010000}"/>
    <cellStyle name="Normal 4 2 3 2" xfId="474" xr:uid="{00000000-0005-0000-0000-0000F5010000}"/>
    <cellStyle name="Normal 4 2 3 2 2" xfId="475" xr:uid="{00000000-0005-0000-0000-0000F6010000}"/>
    <cellStyle name="Normal 4 2 3 2 3" xfId="476" xr:uid="{00000000-0005-0000-0000-0000F7010000}"/>
    <cellStyle name="Normal 4 2 3 3" xfId="477" xr:uid="{00000000-0005-0000-0000-0000F8010000}"/>
    <cellStyle name="Normal 4 2 3 4" xfId="478" xr:uid="{00000000-0005-0000-0000-0000F9010000}"/>
    <cellStyle name="Normal 4 3" xfId="479" xr:uid="{00000000-0005-0000-0000-0000FA010000}"/>
    <cellStyle name="Normal 4 3 2" xfId="480" xr:uid="{00000000-0005-0000-0000-0000FB010000}"/>
    <cellStyle name="Normal 4 3 2 2" xfId="481" xr:uid="{00000000-0005-0000-0000-0000FC010000}"/>
    <cellStyle name="Normal 4 3 2 3" xfId="482" xr:uid="{00000000-0005-0000-0000-0000FD010000}"/>
    <cellStyle name="Normal 4 3 3" xfId="483" xr:uid="{00000000-0005-0000-0000-0000FE010000}"/>
    <cellStyle name="Normal 4 3 3 2" xfId="484" xr:uid="{00000000-0005-0000-0000-0000FF010000}"/>
    <cellStyle name="Normal 4 3 4" xfId="485" xr:uid="{00000000-0005-0000-0000-000000020000}"/>
    <cellStyle name="Normal 4 4" xfId="486" xr:uid="{00000000-0005-0000-0000-000001020000}"/>
    <cellStyle name="Normal 4 5" xfId="487" xr:uid="{00000000-0005-0000-0000-000002020000}"/>
    <cellStyle name="Normal 4 6" xfId="488" xr:uid="{00000000-0005-0000-0000-000003020000}"/>
    <cellStyle name="Normal 4_29(d) - Gas extensions -tariffs" xfId="489" xr:uid="{00000000-0005-0000-0000-000004020000}"/>
    <cellStyle name="Normal 40" xfId="490" xr:uid="{00000000-0005-0000-0000-000005020000}"/>
    <cellStyle name="Normal 40 2" xfId="491" xr:uid="{00000000-0005-0000-0000-000006020000}"/>
    <cellStyle name="Normal 40_29(d) - Gas extensions -tariffs" xfId="492" xr:uid="{00000000-0005-0000-0000-000007020000}"/>
    <cellStyle name="Normal 5" xfId="493" xr:uid="{00000000-0005-0000-0000-000008020000}"/>
    <cellStyle name="Normal 5 2" xfId="494" xr:uid="{00000000-0005-0000-0000-000009020000}"/>
    <cellStyle name="Normal 5 3" xfId="495" xr:uid="{00000000-0005-0000-0000-00000A020000}"/>
    <cellStyle name="Normal 6" xfId="496" xr:uid="{00000000-0005-0000-0000-00000B020000}"/>
    <cellStyle name="Normal 6 2" xfId="497" xr:uid="{00000000-0005-0000-0000-00000C020000}"/>
    <cellStyle name="Normal 6 2 2" xfId="498" xr:uid="{00000000-0005-0000-0000-00000D020000}"/>
    <cellStyle name="Normal 6 2 3" xfId="499" xr:uid="{00000000-0005-0000-0000-00000E020000}"/>
    <cellStyle name="Normal 7" xfId="500" xr:uid="{00000000-0005-0000-0000-00000F020000}"/>
    <cellStyle name="Normal 7 2" xfId="501" xr:uid="{00000000-0005-0000-0000-000010020000}"/>
    <cellStyle name="Normal 7 2 2" xfId="502" xr:uid="{00000000-0005-0000-0000-000011020000}"/>
    <cellStyle name="Normal 7 2 2 2" xfId="503" xr:uid="{00000000-0005-0000-0000-000012020000}"/>
    <cellStyle name="Normal 7 2 2 3" xfId="504" xr:uid="{00000000-0005-0000-0000-000013020000}"/>
    <cellStyle name="Normal 7 2 3" xfId="505" xr:uid="{00000000-0005-0000-0000-000014020000}"/>
    <cellStyle name="Normal 7 2 4" xfId="506" xr:uid="{00000000-0005-0000-0000-000015020000}"/>
    <cellStyle name="Normal 8" xfId="507" xr:uid="{00000000-0005-0000-0000-000016020000}"/>
    <cellStyle name="Normal 8 2" xfId="508" xr:uid="{00000000-0005-0000-0000-000017020000}"/>
    <cellStyle name="Normal 8 2 2" xfId="509" xr:uid="{00000000-0005-0000-0000-000018020000}"/>
    <cellStyle name="Normal 8 2 3" xfId="510" xr:uid="{00000000-0005-0000-0000-000019020000}"/>
    <cellStyle name="Normal 8 2 3 2" xfId="511" xr:uid="{00000000-0005-0000-0000-00001A020000}"/>
    <cellStyle name="Normal 8 2 3 3" xfId="512" xr:uid="{00000000-0005-0000-0000-00001B020000}"/>
    <cellStyle name="Normal 8 2 4" xfId="513" xr:uid="{00000000-0005-0000-0000-00001C020000}"/>
    <cellStyle name="Normal 9" xfId="514" xr:uid="{00000000-0005-0000-0000-00001D020000}"/>
    <cellStyle name="Normal 9 2" xfId="515" xr:uid="{00000000-0005-0000-0000-00001E020000}"/>
    <cellStyle name="Normal_2010 07 28 - AA - Template for data collection 2" xfId="5" xr:uid="{00000000-0005-0000-0000-00001F020000}"/>
    <cellStyle name="Normal_2010 07 28 - AA - Template for data collection 3" xfId="709" xr:uid="{00000000-0005-0000-0000-000020020000}"/>
    <cellStyle name="Note 2" xfId="516" xr:uid="{00000000-0005-0000-0000-000021020000}"/>
    <cellStyle name="Note 2 2" xfId="517" xr:uid="{00000000-0005-0000-0000-000022020000}"/>
    <cellStyle name="Note 2 2 2" xfId="518" xr:uid="{00000000-0005-0000-0000-000023020000}"/>
    <cellStyle name="Note 2 3" xfId="519" xr:uid="{00000000-0005-0000-0000-000024020000}"/>
    <cellStyle name="Note 2 3 2" xfId="520" xr:uid="{00000000-0005-0000-0000-000025020000}"/>
    <cellStyle name="Note 2 3 3" xfId="521" xr:uid="{00000000-0005-0000-0000-000026020000}"/>
    <cellStyle name="Note 2 4" xfId="522" xr:uid="{00000000-0005-0000-0000-000027020000}"/>
    <cellStyle name="Note 3" xfId="523" xr:uid="{00000000-0005-0000-0000-000028020000}"/>
    <cellStyle name="Note 3 2" xfId="524" xr:uid="{00000000-0005-0000-0000-000029020000}"/>
    <cellStyle name="Note 3 2 2" xfId="525" xr:uid="{00000000-0005-0000-0000-00002A020000}"/>
    <cellStyle name="Note 3 3" xfId="526" xr:uid="{00000000-0005-0000-0000-00002B020000}"/>
    <cellStyle name="Note 3 3 2" xfId="527" xr:uid="{00000000-0005-0000-0000-00002C020000}"/>
    <cellStyle name="Note 3 3 3" xfId="528" xr:uid="{00000000-0005-0000-0000-00002D020000}"/>
    <cellStyle name="Note 3 4" xfId="529" xr:uid="{00000000-0005-0000-0000-00002E020000}"/>
    <cellStyle name="Note 4" xfId="530" xr:uid="{00000000-0005-0000-0000-00002F020000}"/>
    <cellStyle name="Note 4 2" xfId="531" xr:uid="{00000000-0005-0000-0000-000030020000}"/>
    <cellStyle name="Note 4 2 2" xfId="532" xr:uid="{00000000-0005-0000-0000-000031020000}"/>
    <cellStyle name="Note 4 3" xfId="533" xr:uid="{00000000-0005-0000-0000-000032020000}"/>
    <cellStyle name="Note 4 3 2" xfId="534" xr:uid="{00000000-0005-0000-0000-000033020000}"/>
    <cellStyle name="Note 4 3 3" xfId="535" xr:uid="{00000000-0005-0000-0000-000034020000}"/>
    <cellStyle name="Note 4 4" xfId="536" xr:uid="{00000000-0005-0000-0000-000035020000}"/>
    <cellStyle name="Output 2" xfId="537" xr:uid="{00000000-0005-0000-0000-000036020000}"/>
    <cellStyle name="Output 2 2" xfId="538" xr:uid="{00000000-0005-0000-0000-000037020000}"/>
    <cellStyle name="Output 2 2 2" xfId="539" xr:uid="{00000000-0005-0000-0000-000038020000}"/>
    <cellStyle name="Output 2 3" xfId="540" xr:uid="{00000000-0005-0000-0000-000039020000}"/>
    <cellStyle name="Output 2 3 2" xfId="541" xr:uid="{00000000-0005-0000-0000-00003A020000}"/>
    <cellStyle name="Output 2 3 3" xfId="542" xr:uid="{00000000-0005-0000-0000-00003B020000}"/>
    <cellStyle name="Output 2 4" xfId="543" xr:uid="{00000000-0005-0000-0000-00003C020000}"/>
    <cellStyle name="Percent [2]" xfId="544" xr:uid="{00000000-0005-0000-0000-00003D020000}"/>
    <cellStyle name="Percent [2] 2" xfId="545" xr:uid="{00000000-0005-0000-0000-00003E020000}"/>
    <cellStyle name="Percent [2]_29(d) - Gas extensions -tariffs" xfId="546" xr:uid="{00000000-0005-0000-0000-00003F020000}"/>
    <cellStyle name="Percent 10" xfId="698" xr:uid="{00000000-0005-0000-0000-000040020000}"/>
    <cellStyle name="Percent 11" xfId="699" xr:uid="{00000000-0005-0000-0000-000041020000}"/>
    <cellStyle name="Percent 12" xfId="547" xr:uid="{00000000-0005-0000-0000-000042020000}"/>
    <cellStyle name="Percent 12 2" xfId="548" xr:uid="{00000000-0005-0000-0000-000043020000}"/>
    <cellStyle name="Percent 12 2 2" xfId="549" xr:uid="{00000000-0005-0000-0000-000044020000}"/>
    <cellStyle name="Percent 12 3" xfId="550" xr:uid="{00000000-0005-0000-0000-000045020000}"/>
    <cellStyle name="Percent 12 4" xfId="551" xr:uid="{00000000-0005-0000-0000-000046020000}"/>
    <cellStyle name="Percent 2" xfId="552" xr:uid="{00000000-0005-0000-0000-000047020000}"/>
    <cellStyle name="Percent 2 2" xfId="553" xr:uid="{00000000-0005-0000-0000-000048020000}"/>
    <cellStyle name="Percent 2 2 2" xfId="554" xr:uid="{00000000-0005-0000-0000-000049020000}"/>
    <cellStyle name="Percent 2 2 2 2" xfId="555" xr:uid="{00000000-0005-0000-0000-00004A020000}"/>
    <cellStyle name="Percent 2 2 2 2 2" xfId="556" xr:uid="{00000000-0005-0000-0000-00004B020000}"/>
    <cellStyle name="Percent 2 2 2 2 3" xfId="557" xr:uid="{00000000-0005-0000-0000-00004C020000}"/>
    <cellStyle name="Percent 2 2 2 3" xfId="558" xr:uid="{00000000-0005-0000-0000-00004D020000}"/>
    <cellStyle name="Percent 2 2 2 4" xfId="559" xr:uid="{00000000-0005-0000-0000-00004E020000}"/>
    <cellStyle name="Percent 2 2 3" xfId="560" xr:uid="{00000000-0005-0000-0000-00004F020000}"/>
    <cellStyle name="Percent 2 2 3 2" xfId="561" xr:uid="{00000000-0005-0000-0000-000050020000}"/>
    <cellStyle name="Percent 2 2 3 2 2" xfId="562" xr:uid="{00000000-0005-0000-0000-000051020000}"/>
    <cellStyle name="Percent 2 2 3 2 3" xfId="563" xr:uid="{00000000-0005-0000-0000-000052020000}"/>
    <cellStyle name="Percent 2 2 3 3" xfId="564" xr:uid="{00000000-0005-0000-0000-000053020000}"/>
    <cellStyle name="Percent 2 2 3 4" xfId="565" xr:uid="{00000000-0005-0000-0000-000054020000}"/>
    <cellStyle name="Percent 2 3" xfId="566" xr:uid="{00000000-0005-0000-0000-000055020000}"/>
    <cellStyle name="Percent 2 3 2" xfId="567" xr:uid="{00000000-0005-0000-0000-000056020000}"/>
    <cellStyle name="Percent 2 3 2 2" xfId="568" xr:uid="{00000000-0005-0000-0000-000057020000}"/>
    <cellStyle name="Percent 2 3 2 3" xfId="569" xr:uid="{00000000-0005-0000-0000-000058020000}"/>
    <cellStyle name="Percent 2 3 3" xfId="570" xr:uid="{00000000-0005-0000-0000-000059020000}"/>
    <cellStyle name="Percent 2 3 4" xfId="571" xr:uid="{00000000-0005-0000-0000-00005A020000}"/>
    <cellStyle name="Percent 2 4" xfId="572" xr:uid="{00000000-0005-0000-0000-00005B020000}"/>
    <cellStyle name="Percent 2 4 2" xfId="573" xr:uid="{00000000-0005-0000-0000-00005C020000}"/>
    <cellStyle name="Percent 2 4 2 2" xfId="574" xr:uid="{00000000-0005-0000-0000-00005D020000}"/>
    <cellStyle name="Percent 2 4 2 3" xfId="575" xr:uid="{00000000-0005-0000-0000-00005E020000}"/>
    <cellStyle name="Percent 2 4 3" xfId="576" xr:uid="{00000000-0005-0000-0000-00005F020000}"/>
    <cellStyle name="Percent 2 4 4" xfId="577" xr:uid="{00000000-0005-0000-0000-000060020000}"/>
    <cellStyle name="Percent 3" xfId="578" xr:uid="{00000000-0005-0000-0000-000061020000}"/>
    <cellStyle name="Percent 3 2" xfId="579" xr:uid="{00000000-0005-0000-0000-000062020000}"/>
    <cellStyle name="Percent 3 4" xfId="580" xr:uid="{00000000-0005-0000-0000-000063020000}"/>
    <cellStyle name="Percent 3 4 2" xfId="581" xr:uid="{00000000-0005-0000-0000-000064020000}"/>
    <cellStyle name="Percent 3 4 3" xfId="582" xr:uid="{00000000-0005-0000-0000-000065020000}"/>
    <cellStyle name="Percent 4" xfId="583" xr:uid="{00000000-0005-0000-0000-000066020000}"/>
    <cellStyle name="Percent 5" xfId="584" xr:uid="{00000000-0005-0000-0000-000067020000}"/>
    <cellStyle name="Percent 5 2" xfId="585" xr:uid="{00000000-0005-0000-0000-000068020000}"/>
    <cellStyle name="Percent 5 3" xfId="586" xr:uid="{00000000-0005-0000-0000-000069020000}"/>
    <cellStyle name="Percent 6" xfId="587" xr:uid="{00000000-0005-0000-0000-00006A020000}"/>
    <cellStyle name="Percent 7" xfId="588" xr:uid="{00000000-0005-0000-0000-00006B020000}"/>
    <cellStyle name="Percent 8" xfId="589" xr:uid="{00000000-0005-0000-0000-00006C020000}"/>
    <cellStyle name="Percent 9" xfId="700" xr:uid="{00000000-0005-0000-0000-00006D020000}"/>
    <cellStyle name="Percentage" xfId="590" xr:uid="{00000000-0005-0000-0000-00006E020000}"/>
    <cellStyle name="Period Title" xfId="591" xr:uid="{00000000-0005-0000-0000-00006F020000}"/>
    <cellStyle name="PSChar" xfId="592" xr:uid="{00000000-0005-0000-0000-000070020000}"/>
    <cellStyle name="PSDate" xfId="593" xr:uid="{00000000-0005-0000-0000-000071020000}"/>
    <cellStyle name="PSDec" xfId="594" xr:uid="{00000000-0005-0000-0000-000072020000}"/>
    <cellStyle name="PSDetail" xfId="595" xr:uid="{00000000-0005-0000-0000-000073020000}"/>
    <cellStyle name="PSHeading" xfId="596" xr:uid="{00000000-0005-0000-0000-000074020000}"/>
    <cellStyle name="PSHeading 2" xfId="597" xr:uid="{00000000-0005-0000-0000-000075020000}"/>
    <cellStyle name="PSHeading 2 2" xfId="598" xr:uid="{00000000-0005-0000-0000-000076020000}"/>
    <cellStyle name="PSHeading 2 2 2" xfId="599" xr:uid="{00000000-0005-0000-0000-000077020000}"/>
    <cellStyle name="PSHeading 2 3" xfId="600" xr:uid="{00000000-0005-0000-0000-000078020000}"/>
    <cellStyle name="PSHeading 3" xfId="601" xr:uid="{00000000-0005-0000-0000-000079020000}"/>
    <cellStyle name="PSHeading 3 2" xfId="602" xr:uid="{00000000-0005-0000-0000-00007A020000}"/>
    <cellStyle name="PSHeading 3 2 2" xfId="603" xr:uid="{00000000-0005-0000-0000-00007B020000}"/>
    <cellStyle name="PSHeading 3 2 2 2" xfId="701" xr:uid="{00000000-0005-0000-0000-00007C020000}"/>
    <cellStyle name="PSHeading 3 2 3" xfId="702" xr:uid="{00000000-0005-0000-0000-00007D020000}"/>
    <cellStyle name="PSHeading 3 3" xfId="604" xr:uid="{00000000-0005-0000-0000-00007E020000}"/>
    <cellStyle name="PSHeading 4" xfId="605" xr:uid="{00000000-0005-0000-0000-00007F020000}"/>
    <cellStyle name="PSHeading 4 2" xfId="606" xr:uid="{00000000-0005-0000-0000-000080020000}"/>
    <cellStyle name="PSHeading 5" xfId="703" xr:uid="{00000000-0005-0000-0000-000081020000}"/>
    <cellStyle name="PSInt" xfId="607" xr:uid="{00000000-0005-0000-0000-000082020000}"/>
    <cellStyle name="PSSpacer" xfId="608" xr:uid="{00000000-0005-0000-0000-000083020000}"/>
    <cellStyle name="Ratio" xfId="609" xr:uid="{00000000-0005-0000-0000-000084020000}"/>
    <cellStyle name="Ratio 2" xfId="610" xr:uid="{00000000-0005-0000-0000-000085020000}"/>
    <cellStyle name="Ratio_29(d) - Gas extensions -tariffs" xfId="611" xr:uid="{00000000-0005-0000-0000-000086020000}"/>
    <cellStyle name="Right Date" xfId="612" xr:uid="{00000000-0005-0000-0000-000087020000}"/>
    <cellStyle name="Right Number" xfId="613" xr:uid="{00000000-0005-0000-0000-000088020000}"/>
    <cellStyle name="Right Year" xfId="614" xr:uid="{00000000-0005-0000-0000-000089020000}"/>
    <cellStyle name="RIN_Input$_3dp" xfId="615" xr:uid="{00000000-0005-0000-0000-00008A020000}"/>
    <cellStyle name="SAPError" xfId="616" xr:uid="{00000000-0005-0000-0000-00008B020000}"/>
    <cellStyle name="SAPError 2" xfId="617" xr:uid="{00000000-0005-0000-0000-00008C020000}"/>
    <cellStyle name="SAPKey" xfId="618" xr:uid="{00000000-0005-0000-0000-00008D020000}"/>
    <cellStyle name="SAPKey 2" xfId="619" xr:uid="{00000000-0005-0000-0000-00008E020000}"/>
    <cellStyle name="SAPLocked" xfId="620" xr:uid="{00000000-0005-0000-0000-00008F020000}"/>
    <cellStyle name="SAPLocked 2" xfId="621" xr:uid="{00000000-0005-0000-0000-000090020000}"/>
    <cellStyle name="SAPOutput" xfId="622" xr:uid="{00000000-0005-0000-0000-000091020000}"/>
    <cellStyle name="SAPOutput 2" xfId="623" xr:uid="{00000000-0005-0000-0000-000092020000}"/>
    <cellStyle name="SAPSpace" xfId="624" xr:uid="{00000000-0005-0000-0000-000093020000}"/>
    <cellStyle name="SAPSpace 2" xfId="625" xr:uid="{00000000-0005-0000-0000-000094020000}"/>
    <cellStyle name="SAPText" xfId="626" xr:uid="{00000000-0005-0000-0000-000095020000}"/>
    <cellStyle name="SAPText 2" xfId="627" xr:uid="{00000000-0005-0000-0000-000096020000}"/>
    <cellStyle name="SAPUnLocked" xfId="628" xr:uid="{00000000-0005-0000-0000-000097020000}"/>
    <cellStyle name="SAPUnLocked 2" xfId="629" xr:uid="{00000000-0005-0000-0000-000098020000}"/>
    <cellStyle name="Sheet Title" xfId="630" xr:uid="{00000000-0005-0000-0000-000099020000}"/>
    <cellStyle name="SheetHeader1" xfId="631" xr:uid="{00000000-0005-0000-0000-00009A020000}"/>
    <cellStyle name="Style 1" xfId="632" xr:uid="{00000000-0005-0000-0000-00009B020000}"/>
    <cellStyle name="Style 1 2" xfId="633" xr:uid="{00000000-0005-0000-0000-00009C020000}"/>
    <cellStyle name="Style 1 2 2" xfId="634" xr:uid="{00000000-0005-0000-0000-00009D020000}"/>
    <cellStyle name="Style 1 3" xfId="635" xr:uid="{00000000-0005-0000-0000-00009E020000}"/>
    <cellStyle name="Style 1 3 2" xfId="636" xr:uid="{00000000-0005-0000-0000-00009F020000}"/>
    <cellStyle name="Style 1 3 3" xfId="637" xr:uid="{00000000-0005-0000-0000-0000A0020000}"/>
    <cellStyle name="Style 1 4" xfId="638" xr:uid="{00000000-0005-0000-0000-0000A1020000}"/>
    <cellStyle name="Style 1_29(d) - Gas extensions -tariffs" xfId="639" xr:uid="{00000000-0005-0000-0000-0000A2020000}"/>
    <cellStyle name="Style2" xfId="640" xr:uid="{00000000-0005-0000-0000-0000A3020000}"/>
    <cellStyle name="Style3" xfId="641" xr:uid="{00000000-0005-0000-0000-0000A4020000}"/>
    <cellStyle name="Style4" xfId="642" xr:uid="{00000000-0005-0000-0000-0000A5020000}"/>
    <cellStyle name="Style4 2" xfId="643" xr:uid="{00000000-0005-0000-0000-0000A6020000}"/>
    <cellStyle name="Style4_29(d) - Gas extensions -tariffs" xfId="644" xr:uid="{00000000-0005-0000-0000-0000A7020000}"/>
    <cellStyle name="Style5" xfId="645" xr:uid="{00000000-0005-0000-0000-0000A8020000}"/>
    <cellStyle name="Style5 2" xfId="646" xr:uid="{00000000-0005-0000-0000-0000A9020000}"/>
    <cellStyle name="Style5_29(d) - Gas extensions -tariffs" xfId="647" xr:uid="{00000000-0005-0000-0000-0000AA020000}"/>
    <cellStyle name="Table Head Green" xfId="648" xr:uid="{00000000-0005-0000-0000-0000AB020000}"/>
    <cellStyle name="Table Head_pldt" xfId="649" xr:uid="{00000000-0005-0000-0000-0000AC020000}"/>
    <cellStyle name="Table Source" xfId="650" xr:uid="{00000000-0005-0000-0000-0000AD020000}"/>
    <cellStyle name="Table Units" xfId="651" xr:uid="{00000000-0005-0000-0000-0000AE020000}"/>
    <cellStyle name="TableLvl2" xfId="652" xr:uid="{00000000-0005-0000-0000-0000AF020000}"/>
    <cellStyle name="TableLvl3" xfId="653" xr:uid="{00000000-0005-0000-0000-0000B0020000}"/>
    <cellStyle name="Text" xfId="654" xr:uid="{00000000-0005-0000-0000-0000B1020000}"/>
    <cellStyle name="Text 2" xfId="655" xr:uid="{00000000-0005-0000-0000-0000B2020000}"/>
    <cellStyle name="Text 3" xfId="656" xr:uid="{00000000-0005-0000-0000-0000B3020000}"/>
    <cellStyle name="Text Head 1" xfId="657" xr:uid="{00000000-0005-0000-0000-0000B4020000}"/>
    <cellStyle name="Text Head 2" xfId="658" xr:uid="{00000000-0005-0000-0000-0000B5020000}"/>
    <cellStyle name="Text Indent 2" xfId="659" xr:uid="{00000000-0005-0000-0000-0000B6020000}"/>
    <cellStyle name="Theirs" xfId="660" xr:uid="{00000000-0005-0000-0000-0000B7020000}"/>
    <cellStyle name="Title 2" xfId="661" xr:uid="{00000000-0005-0000-0000-0000B8020000}"/>
    <cellStyle name="TOC 1" xfId="662" xr:uid="{00000000-0005-0000-0000-0000B9020000}"/>
    <cellStyle name="TOC 2" xfId="663" xr:uid="{00000000-0005-0000-0000-0000BA020000}"/>
    <cellStyle name="TOC 3" xfId="664" xr:uid="{00000000-0005-0000-0000-0000BB020000}"/>
    <cellStyle name="Total 2" xfId="665" xr:uid="{00000000-0005-0000-0000-0000BC020000}"/>
    <cellStyle name="Total 2 2" xfId="666" xr:uid="{00000000-0005-0000-0000-0000BD020000}"/>
    <cellStyle name="Total 2 2 2" xfId="667" xr:uid="{00000000-0005-0000-0000-0000BE020000}"/>
    <cellStyle name="Total 2 3" xfId="668" xr:uid="{00000000-0005-0000-0000-0000BF020000}"/>
    <cellStyle name="Total 2 3 2" xfId="669" xr:uid="{00000000-0005-0000-0000-0000C0020000}"/>
    <cellStyle name="Total 2 3 3" xfId="670" xr:uid="{00000000-0005-0000-0000-0000C1020000}"/>
    <cellStyle name="Total 2 4" xfId="671" xr:uid="{00000000-0005-0000-0000-0000C2020000}"/>
    <cellStyle name="Warning Text 2" xfId="672" xr:uid="{00000000-0005-0000-0000-0000C3020000}"/>
    <cellStyle name="year" xfId="673" xr:uid="{00000000-0005-0000-0000-0000C4020000}"/>
    <cellStyle name="year 2" xfId="674" xr:uid="{00000000-0005-0000-0000-0000C5020000}"/>
    <cellStyle name="year_29(d) - Gas extensions -tariffs" xfId="675" xr:uid="{00000000-0005-0000-0000-0000C6020000}"/>
  </cellStyles>
  <dxfs count="2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155864</xdr:colOff>
      <xdr:row>10</xdr:row>
      <xdr:rowOff>26076</xdr:rowOff>
    </xdr:from>
    <xdr:to>
      <xdr:col>44</xdr:col>
      <xdr:colOff>84178</xdr:colOff>
      <xdr:row>13</xdr:row>
      <xdr:rowOff>175284</xdr:rowOff>
    </xdr:to>
    <xdr:sp macro="[0]!MarkConfidential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783739" y="2121576"/>
          <a:ext cx="1757114" cy="720708"/>
        </a:xfrm>
        <a:prstGeom prst="roundRect">
          <a:avLst/>
        </a:prstGeom>
        <a:ln>
          <a:solidFill>
            <a:schemeClr val="accent6">
              <a:lumMod val="75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0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Mark selection</a:t>
          </a:r>
          <a:r>
            <a:rPr lang="en-AU" sz="1000" b="1" baseline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CONFIDENTIAL</a:t>
          </a:r>
          <a:endParaRPr lang="en-AU" sz="1000" b="1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41</xdr:col>
      <xdr:colOff>155867</xdr:colOff>
      <xdr:row>14</xdr:row>
      <xdr:rowOff>59774</xdr:rowOff>
    </xdr:from>
    <xdr:to>
      <xdr:col>44</xdr:col>
      <xdr:colOff>93601</xdr:colOff>
      <xdr:row>17</xdr:row>
      <xdr:rowOff>159552</xdr:rowOff>
    </xdr:to>
    <xdr:sp macro="[0]!MarkNonConfidential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0783742" y="2917274"/>
          <a:ext cx="1766534" cy="671278"/>
        </a:xfrm>
        <a:prstGeom prst="roundRect">
          <a:avLst/>
        </a:prstGeom>
        <a:solidFill>
          <a:srgbClr val="FFFFCC"/>
        </a:solidFill>
        <a:ln>
          <a:solidFill>
            <a:schemeClr val="accent6">
              <a:lumMod val="75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000" b="1">
              <a:solidFill>
                <a:sysClr val="windowText" lastClr="000000"/>
              </a:solidFill>
            </a:rPr>
            <a:t>Return</a:t>
          </a:r>
          <a:r>
            <a:rPr lang="en-AU" sz="1000" b="1" baseline="0">
              <a:solidFill>
                <a:sysClr val="windowText" lastClr="000000"/>
              </a:solidFill>
            </a:rPr>
            <a:t> selection to </a:t>
          </a:r>
        </a:p>
        <a:p>
          <a:pPr algn="ctr"/>
          <a:r>
            <a:rPr lang="en-AU" sz="1000" b="1" baseline="0">
              <a:solidFill>
                <a:sysClr val="windowText" lastClr="000000"/>
              </a:solidFill>
            </a:rPr>
            <a:t>NON-CONFIDENTIAL</a:t>
          </a:r>
          <a:endParaRPr lang="en-AU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528101</xdr:colOff>
      <xdr:row>9</xdr:row>
      <xdr:rowOff>199159</xdr:rowOff>
    </xdr:from>
    <xdr:to>
      <xdr:col>51</xdr:col>
      <xdr:colOff>77847</xdr:colOff>
      <xdr:row>18</xdr:row>
      <xdr:rowOff>37246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3594376" y="1951759"/>
          <a:ext cx="3207346" cy="1704987"/>
        </a:xfrm>
        <a:prstGeom prst="roundRect">
          <a:avLst/>
        </a:prstGeom>
        <a:ln w="3175">
          <a:solidFill>
            <a:schemeClr val="bg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AU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48</xdr:col>
      <xdr:colOff>176628</xdr:colOff>
      <xdr:row>14</xdr:row>
      <xdr:rowOff>18714</xdr:rowOff>
    </xdr:from>
    <xdr:to>
      <xdr:col>50</xdr:col>
      <xdr:colOff>524614</xdr:colOff>
      <xdr:row>17</xdr:row>
      <xdr:rowOff>178270</xdr:rowOff>
    </xdr:to>
    <xdr:sp macro="[0]!dms_ReturnNonAmended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5071703" y="2876214"/>
          <a:ext cx="1567186" cy="731056"/>
        </a:xfrm>
        <a:prstGeom prst="round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950" b="1">
              <a:solidFill>
                <a:sysClr val="windowText" lastClr="000000"/>
              </a:solidFill>
              <a:latin typeface="+mn-lt"/>
            </a:rPr>
            <a:t>Return</a:t>
          </a:r>
          <a:r>
            <a:rPr lang="en-AU" sz="950" b="1" baseline="0">
              <a:solidFill>
                <a:sysClr val="windowText" lastClr="000000"/>
              </a:solidFill>
              <a:latin typeface="+mn-lt"/>
            </a:rPr>
            <a:t> selection to NON-AMENDED</a:t>
          </a:r>
          <a:endParaRPr lang="en-AU" sz="95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>
    <xdr:from>
      <xdr:col>48</xdr:col>
      <xdr:colOff>169806</xdr:colOff>
      <xdr:row>10</xdr:row>
      <xdr:rowOff>47186</xdr:rowOff>
    </xdr:from>
    <xdr:to>
      <xdr:col>50</xdr:col>
      <xdr:colOff>534680</xdr:colOff>
      <xdr:row>13</xdr:row>
      <xdr:rowOff>180628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5064881" y="2142686"/>
          <a:ext cx="1584074" cy="704942"/>
        </a:xfrm>
        <a:prstGeom prst="roundRect">
          <a:avLst/>
        </a:prstGeom>
        <a:pattFill prst="pct30">
          <a:fgClr>
            <a:schemeClr val="tx2">
              <a:lumMod val="60000"/>
              <a:lumOff val="40000"/>
            </a:schemeClr>
          </a:fgClr>
          <a:bgClr>
            <a:schemeClr val="bg1"/>
          </a:bgClr>
        </a:pattFill>
        <a:ln>
          <a:solidFill>
            <a:schemeClr val="accent4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950" b="1">
              <a:solidFill>
                <a:sysClr val="windowText" lastClr="000000"/>
              </a:solidFill>
              <a:latin typeface="+mn-lt"/>
            </a:rPr>
            <a:t>Mark selection</a:t>
          </a:r>
          <a:r>
            <a:rPr lang="en-AU" sz="950" b="1" baseline="0">
              <a:solidFill>
                <a:sysClr val="windowText" lastClr="000000"/>
              </a:solidFill>
              <a:latin typeface="+mn-lt"/>
            </a:rPr>
            <a:t> as </a:t>
          </a:r>
          <a:r>
            <a:rPr lang="en-AU" sz="950" b="1">
              <a:solidFill>
                <a:sysClr val="windowText" lastClr="000000"/>
              </a:solidFill>
              <a:latin typeface="+mn-lt"/>
            </a:rPr>
            <a:t>AMENDED</a:t>
          </a:r>
        </a:p>
      </xdr:txBody>
    </xdr:sp>
    <xdr:clientData/>
  </xdr:twoCellAnchor>
  <xdr:twoCellAnchor>
    <xdr:from>
      <xdr:col>46</xdr:col>
      <xdr:colOff>133850</xdr:colOff>
      <xdr:row>10</xdr:row>
      <xdr:rowOff>94877</xdr:rowOff>
    </xdr:from>
    <xdr:to>
      <xdr:col>48</xdr:col>
      <xdr:colOff>24310</xdr:colOff>
      <xdr:row>17</xdr:row>
      <xdr:rowOff>127970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3809725" y="2190377"/>
          <a:ext cx="1109660" cy="1366593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AU" sz="1100" b="1">
              <a:solidFill>
                <a:schemeClr val="bg1"/>
              </a:solidFill>
            </a:rPr>
            <a:t>FOR AMENDED SUBMISSIONS</a:t>
          </a:r>
          <a:r>
            <a:rPr lang="en-AU" sz="1100" b="1" baseline="0">
              <a:solidFill>
                <a:schemeClr val="bg1"/>
              </a:solidFill>
            </a:rPr>
            <a:t> ONLY</a:t>
          </a:r>
          <a:endParaRPr lang="en-AU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599175</xdr:colOff>
      <xdr:row>37</xdr:row>
      <xdr:rowOff>151500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51CB18-EFDA-4BAC-84DF-6E86EE1E5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00000" cy="7200000"/>
        </a:xfrm>
        <a:prstGeom prst="rect">
          <a:avLst/>
        </a:prstGeom>
      </xdr:spPr>
    </xdr:pic>
    <xdr:clientData/>
  </xdr:twoCellAnchor>
  <xdr:oneCellAnchor>
    <xdr:from>
      <xdr:col>0</xdr:col>
      <xdr:colOff>400050</xdr:colOff>
      <xdr:row>6</xdr:row>
      <xdr:rowOff>161925</xdr:rowOff>
    </xdr:from>
    <xdr:ext cx="5467350" cy="266778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A009572-B775-465E-A96E-8FEF003419E2}"/>
            </a:ext>
          </a:extLst>
        </xdr:cNvPr>
        <xdr:cNvSpPr txBox="1"/>
      </xdr:nvSpPr>
      <xdr:spPr>
        <a:xfrm>
          <a:off x="400050" y="1304925"/>
          <a:ext cx="5467350" cy="2667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2000">
              <a:solidFill>
                <a:schemeClr val="bg1"/>
              </a:solidFill>
              <a:effectLst/>
              <a:latin typeface="Bree Serif" panose="02000503040000020004" pitchFamily="2" charset="0"/>
              <a:ea typeface="+mn-ea"/>
              <a:cs typeface="+mn-cs"/>
            </a:rPr>
            <a:t>Attachment 12.1A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2000">
            <a:solidFill>
              <a:schemeClr val="bg1"/>
            </a:solidFill>
            <a:effectLst/>
            <a:latin typeface="Bree Serif" panose="02000503040000020004" pitchFamily="2" charset="0"/>
            <a:ea typeface="+mn-ea"/>
            <a:cs typeface="+mn-cs"/>
          </a:endParaRPr>
        </a:p>
        <a:p>
          <a:r>
            <a:rPr lang="en-AU" sz="2500" u="none" baseline="0">
              <a:solidFill>
                <a:schemeClr val="bg1"/>
              </a:solidFill>
              <a:latin typeface="Bree Serif" panose="02000503040000020004" pitchFamily="2" charset="0"/>
            </a:rPr>
            <a:t>Revised Opex Incentive Scheme Calculation Model 2021-25</a:t>
          </a: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r>
            <a:rPr lang="en-AU" sz="1800" baseline="0">
              <a:solidFill>
                <a:schemeClr val="bg1"/>
              </a:solidFill>
              <a:latin typeface="Bree Serif" panose="02000503040000020004" pitchFamily="2" charset="0"/>
            </a:rPr>
            <a:t>October 2020</a:t>
          </a:r>
          <a:r>
            <a:rPr lang="en-AU" sz="2500" baseline="0">
              <a:solidFill>
                <a:schemeClr val="bg1"/>
              </a:solidFill>
              <a:latin typeface="Bree Serif" panose="02000503040000020004" pitchFamily="2" charset="0"/>
            </a:rPr>
            <a:t> </a:t>
          </a:r>
          <a:endParaRPr lang="en-AU" sz="2500">
            <a:solidFill>
              <a:schemeClr val="bg1"/>
            </a:solidFill>
            <a:latin typeface="Bree Serif" panose="02000503040000020004" pitchFamily="2" charset="0"/>
          </a:endParaRPr>
        </a:p>
      </xdr:txBody>
    </xdr:sp>
    <xdr:clientData/>
  </xdr:oneCellAnchor>
  <xdr:twoCellAnchor>
    <xdr:from>
      <xdr:col>0</xdr:col>
      <xdr:colOff>504825</xdr:colOff>
      <xdr:row>16</xdr:row>
      <xdr:rowOff>9525</xdr:rowOff>
    </xdr:from>
    <xdr:to>
      <xdr:col>7</xdr:col>
      <xdr:colOff>285750</xdr:colOff>
      <xdr:row>16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8B35840-751D-4AC7-A991-4063CDCC2D28}"/>
            </a:ext>
          </a:extLst>
        </xdr:cNvPr>
        <xdr:cNvCxnSpPr/>
      </xdr:nvCxnSpPr>
      <xdr:spPr>
        <a:xfrm>
          <a:off x="504825" y="3057525"/>
          <a:ext cx="4048125" cy="952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9" tint="-0.249977111117893"/>
  </sheetPr>
  <dimension ref="A1:AN227"/>
  <sheetViews>
    <sheetView showGridLines="0" zoomScale="85" zoomScaleNormal="85" workbookViewId="0"/>
  </sheetViews>
  <sheetFormatPr defaultColWidth="9.140625" defaultRowHeight="15"/>
  <cols>
    <col min="1" max="1" width="24.28515625" style="1" customWidth="1"/>
    <col min="2" max="2" width="33.85546875" style="3" customWidth="1"/>
    <col min="3" max="3" width="60.5703125" style="3" customWidth="1"/>
    <col min="4" max="4" width="21.28515625" style="1" customWidth="1"/>
    <col min="5" max="5" width="26.42578125" style="4" customWidth="1"/>
    <col min="6" max="6" width="22.140625" style="1" customWidth="1"/>
    <col min="7" max="7" width="24.140625" style="1" customWidth="1"/>
    <col min="8" max="8" width="28.28515625" style="3" customWidth="1"/>
    <col min="9" max="9" width="19" style="5" customWidth="1"/>
    <col min="10" max="10" width="25.7109375" style="3" customWidth="1"/>
    <col min="11" max="11" width="16.140625" style="3" customWidth="1"/>
    <col min="12" max="12" width="14.140625" style="6" customWidth="1"/>
    <col min="13" max="13" width="13.28515625" style="1" customWidth="1"/>
    <col min="14" max="14" width="36.28515625" style="1" customWidth="1"/>
    <col min="15" max="15" width="20.7109375" style="2" customWidth="1"/>
    <col min="16" max="16" width="21" style="2" customWidth="1"/>
    <col min="17" max="17" width="22.28515625" style="2" customWidth="1"/>
    <col min="18" max="18" width="20.7109375" style="2" customWidth="1"/>
    <col min="19" max="19" width="25" style="2" customWidth="1"/>
    <col min="20" max="20" width="22.28515625" style="2" customWidth="1"/>
    <col min="21" max="21" width="22.5703125" style="2" customWidth="1"/>
    <col min="22" max="22" width="23.85546875" style="2" customWidth="1"/>
    <col min="23" max="23" width="22.28515625" style="2" customWidth="1"/>
    <col min="24" max="24" width="26.42578125" style="1" customWidth="1"/>
    <col min="25" max="25" width="37.85546875" style="1" customWidth="1"/>
    <col min="26" max="26" width="27.28515625" style="1" customWidth="1"/>
    <col min="27" max="27" width="39.5703125" style="1" customWidth="1"/>
    <col min="28" max="28" width="19.42578125" style="199" customWidth="1"/>
    <col min="29" max="29" width="21.28515625" style="199" customWidth="1"/>
    <col min="30" max="31" width="27" style="1" customWidth="1"/>
    <col min="32" max="32" width="30.140625" style="1" customWidth="1"/>
    <col min="33" max="33" width="29.28515625" style="1" customWidth="1"/>
    <col min="34" max="34" width="26.42578125" style="1" customWidth="1"/>
    <col min="35" max="35" width="25.140625" style="1" customWidth="1"/>
    <col min="36" max="36" width="28.85546875" style="1" customWidth="1"/>
    <col min="37" max="37" width="28.5703125" style="1" customWidth="1"/>
    <col min="38" max="38" width="25.140625" style="1" customWidth="1"/>
    <col min="39" max="39" width="23.7109375" style="1" customWidth="1"/>
    <col min="40" max="40" width="21.28515625" style="1" customWidth="1"/>
    <col min="41" max="41" width="28.5703125" style="1" customWidth="1"/>
    <col min="42" max="16384" width="9.140625" style="1"/>
  </cols>
  <sheetData>
    <row r="1" spans="2:40">
      <c r="B1" s="781" t="s">
        <v>0</v>
      </c>
      <c r="C1" s="781"/>
      <c r="D1" s="781"/>
      <c r="E1" s="781"/>
      <c r="F1" s="781"/>
      <c r="G1" s="781"/>
      <c r="H1" s="781"/>
      <c r="I1" s="781"/>
      <c r="J1" s="781"/>
      <c r="K1" s="781"/>
      <c r="L1" s="781"/>
    </row>
    <row r="2" spans="2:40">
      <c r="B2" s="200" t="s">
        <v>1</v>
      </c>
      <c r="C2" s="201">
        <v>42751</v>
      </c>
      <c r="D2" s="202" t="s">
        <v>562</v>
      </c>
      <c r="E2" s="202"/>
      <c r="F2" s="203"/>
      <c r="G2" s="203"/>
      <c r="H2" s="204"/>
      <c r="I2" s="205"/>
      <c r="J2" s="204"/>
      <c r="K2" s="204"/>
      <c r="L2" s="206"/>
    </row>
    <row r="3" spans="2:40">
      <c r="B3" s="200"/>
      <c r="C3" s="201">
        <v>42660</v>
      </c>
      <c r="D3" s="202" t="s">
        <v>2</v>
      </c>
      <c r="E3" s="202"/>
      <c r="F3" s="203"/>
      <c r="G3" s="203"/>
      <c r="H3" s="204"/>
      <c r="I3" s="205"/>
      <c r="J3" s="204"/>
      <c r="K3" s="204"/>
      <c r="L3" s="206"/>
    </row>
    <row r="4" spans="2:40">
      <c r="B4" s="200"/>
      <c r="C4" s="201">
        <v>42767</v>
      </c>
      <c r="D4" s="203" t="s">
        <v>563</v>
      </c>
      <c r="E4" s="202"/>
      <c r="F4" s="203"/>
      <c r="G4" s="203"/>
      <c r="H4" s="204"/>
      <c r="I4" s="205"/>
      <c r="J4" s="204"/>
      <c r="K4" s="204"/>
      <c r="L4" s="206"/>
    </row>
    <row r="5" spans="2:40" ht="15.75">
      <c r="B5" s="204"/>
      <c r="C5" s="201">
        <v>42797</v>
      </c>
      <c r="D5" s="203" t="s">
        <v>564</v>
      </c>
      <c r="E5" s="202"/>
      <c r="F5" s="203"/>
      <c r="G5" s="203"/>
      <c r="H5" s="204"/>
      <c r="I5" s="205"/>
      <c r="J5" s="204"/>
      <c r="K5" s="204"/>
      <c r="L5" s="206"/>
      <c r="AB5" s="782" t="s">
        <v>3</v>
      </c>
      <c r="AC5" s="782"/>
      <c r="AD5" s="782"/>
      <c r="AE5" s="782"/>
      <c r="AF5" s="782"/>
      <c r="AG5" s="782"/>
      <c r="AH5" s="782"/>
      <c r="AI5" s="782"/>
      <c r="AJ5" s="782"/>
      <c r="AK5" s="782"/>
      <c r="AL5" s="782"/>
      <c r="AM5" s="782"/>
    </row>
    <row r="6" spans="2:40" ht="16.5" thickBot="1">
      <c r="B6" s="204"/>
      <c r="C6" s="201">
        <v>43187</v>
      </c>
      <c r="D6" s="203" t="s">
        <v>614</v>
      </c>
      <c r="E6" s="202"/>
      <c r="F6" s="203"/>
      <c r="G6" s="203"/>
      <c r="H6" s="204"/>
      <c r="I6" s="205"/>
      <c r="J6" s="204"/>
      <c r="K6" s="204"/>
      <c r="L6" s="206"/>
      <c r="N6" s="2"/>
      <c r="W6" s="1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</row>
    <row r="7" spans="2:40">
      <c r="B7" s="204"/>
      <c r="C7" s="204" t="s">
        <v>615</v>
      </c>
      <c r="D7" s="208">
        <v>5</v>
      </c>
      <c r="E7" s="202"/>
      <c r="F7" s="203"/>
      <c r="G7" s="203"/>
      <c r="H7" s="204"/>
      <c r="I7" s="205"/>
      <c r="J7" s="204"/>
      <c r="K7" s="204"/>
      <c r="L7" s="206"/>
      <c r="N7" s="2"/>
      <c r="W7" s="1"/>
      <c r="AB7" s="783" t="s">
        <v>4</v>
      </c>
      <c r="AC7" s="784"/>
      <c r="AD7" s="784"/>
      <c r="AE7" s="784"/>
      <c r="AF7" s="209" t="s">
        <v>5</v>
      </c>
      <c r="AG7" s="210" t="s">
        <v>6</v>
      </c>
      <c r="AH7" s="785" t="s">
        <v>7</v>
      </c>
      <c r="AI7" s="786"/>
      <c r="AJ7" s="786"/>
      <c r="AK7" s="786"/>
      <c r="AL7" s="787"/>
      <c r="AM7" s="211"/>
    </row>
    <row r="8" spans="2:40">
      <c r="B8" s="204"/>
      <c r="C8" s="204"/>
      <c r="D8" s="208"/>
      <c r="E8" s="202"/>
      <c r="F8" s="203"/>
      <c r="G8" s="203"/>
      <c r="H8" s="204"/>
      <c r="I8" s="205"/>
      <c r="J8" s="204"/>
      <c r="K8" s="204"/>
      <c r="L8" s="206"/>
      <c r="N8" s="2"/>
      <c r="W8" s="1"/>
      <c r="AB8" s="212"/>
      <c r="AC8" s="213"/>
      <c r="AD8" s="213"/>
      <c r="AE8" s="213"/>
      <c r="AF8" s="214"/>
      <c r="AG8" s="215"/>
      <c r="AH8" s="216"/>
      <c r="AI8" s="217"/>
      <c r="AJ8" s="217"/>
      <c r="AK8" s="217"/>
      <c r="AL8" s="218"/>
      <c r="AM8" s="211"/>
    </row>
    <row r="9" spans="2:40" ht="15.75" thickBot="1">
      <c r="C9" s="7"/>
      <c r="N9" s="2"/>
      <c r="W9" s="1"/>
      <c r="AB9" s="219" t="s">
        <v>8</v>
      </c>
      <c r="AC9" s="220" t="s">
        <v>9</v>
      </c>
      <c r="AD9" s="220" t="s">
        <v>10</v>
      </c>
      <c r="AE9" s="220" t="s">
        <v>11</v>
      </c>
      <c r="AF9" s="221" t="s">
        <v>12</v>
      </c>
      <c r="AG9" s="222"/>
      <c r="AH9" s="223"/>
      <c r="AI9" s="224"/>
      <c r="AJ9" s="224"/>
      <c r="AK9" s="224"/>
      <c r="AL9" s="225"/>
      <c r="AM9" s="211"/>
    </row>
    <row r="10" spans="2:40" ht="27" thickBot="1">
      <c r="B10" s="226" t="s">
        <v>13</v>
      </c>
      <c r="C10" s="227" t="s">
        <v>14</v>
      </c>
      <c r="D10" s="228" t="s">
        <v>15</v>
      </c>
      <c r="E10" s="229" t="s">
        <v>16</v>
      </c>
      <c r="F10" s="230" t="s">
        <v>17</v>
      </c>
      <c r="G10" s="230" t="s">
        <v>18</v>
      </c>
      <c r="H10" s="230" t="s">
        <v>19</v>
      </c>
      <c r="I10" s="230" t="s">
        <v>20</v>
      </c>
      <c r="J10" s="230" t="s">
        <v>21</v>
      </c>
      <c r="K10" s="230" t="s">
        <v>22</v>
      </c>
      <c r="L10" s="231" t="s">
        <v>23</v>
      </c>
      <c r="M10" s="232" t="s">
        <v>24</v>
      </c>
      <c r="N10" s="233" t="s">
        <v>25</v>
      </c>
      <c r="O10" s="234" t="s">
        <v>26</v>
      </c>
      <c r="P10" s="235" t="s">
        <v>27</v>
      </c>
      <c r="Q10" s="235" t="s">
        <v>28</v>
      </c>
      <c r="R10" s="235" t="s">
        <v>29</v>
      </c>
      <c r="S10" s="235" t="s">
        <v>30</v>
      </c>
      <c r="T10" s="236" t="s">
        <v>31</v>
      </c>
      <c r="U10" s="236" t="s">
        <v>32</v>
      </c>
      <c r="V10" s="236" t="s">
        <v>33</v>
      </c>
      <c r="W10" s="236" t="s">
        <v>34</v>
      </c>
      <c r="X10" s="236" t="s">
        <v>35</v>
      </c>
      <c r="Y10" s="237" t="s">
        <v>36</v>
      </c>
      <c r="Z10" s="238" t="s">
        <v>37</v>
      </c>
      <c r="AA10" s="238" t="s">
        <v>38</v>
      </c>
      <c r="AB10" s="239" t="s">
        <v>39</v>
      </c>
      <c r="AC10" s="239" t="s">
        <v>40</v>
      </c>
      <c r="AD10" s="239" t="s">
        <v>41</v>
      </c>
      <c r="AE10" s="239" t="s">
        <v>42</v>
      </c>
      <c r="AF10" s="239" t="s">
        <v>43</v>
      </c>
      <c r="AG10" s="239" t="s">
        <v>44</v>
      </c>
      <c r="AH10" s="239" t="s">
        <v>45</v>
      </c>
      <c r="AI10" s="239" t="s">
        <v>46</v>
      </c>
      <c r="AJ10" s="239" t="s">
        <v>47</v>
      </c>
      <c r="AK10" s="239" t="s">
        <v>48</v>
      </c>
      <c r="AL10" s="240" t="s">
        <v>49</v>
      </c>
      <c r="AM10" s="241" t="s">
        <v>616</v>
      </c>
      <c r="AN10" s="242" t="s">
        <v>565</v>
      </c>
    </row>
    <row r="11" spans="2:40">
      <c r="B11" s="243" t="s">
        <v>50</v>
      </c>
      <c r="C11" s="244" t="s">
        <v>50</v>
      </c>
      <c r="D11" s="245">
        <v>76670568688</v>
      </c>
      <c r="E11" s="246" t="s">
        <v>51</v>
      </c>
      <c r="F11" s="247" t="s">
        <v>52</v>
      </c>
      <c r="G11" s="247" t="s">
        <v>53</v>
      </c>
      <c r="H11" s="248" t="s">
        <v>54</v>
      </c>
      <c r="I11" s="249" t="s">
        <v>55</v>
      </c>
      <c r="J11" s="248" t="s">
        <v>56</v>
      </c>
      <c r="K11" s="250">
        <v>5</v>
      </c>
      <c r="L11" s="251">
        <v>5</v>
      </c>
      <c r="M11" s="252">
        <v>5</v>
      </c>
      <c r="N11" s="253" t="s">
        <v>57</v>
      </c>
      <c r="O11" s="254" t="s">
        <v>58</v>
      </c>
      <c r="P11" s="255"/>
      <c r="Q11" s="256" t="s">
        <v>59</v>
      </c>
      <c r="R11" s="257" t="s">
        <v>51</v>
      </c>
      <c r="S11" s="258">
        <v>2600</v>
      </c>
      <c r="T11" s="259" t="s">
        <v>60</v>
      </c>
      <c r="U11" s="255"/>
      <c r="V11" s="255" t="s">
        <v>59</v>
      </c>
      <c r="W11" s="255" t="s">
        <v>51</v>
      </c>
      <c r="X11" s="260">
        <v>2601</v>
      </c>
      <c r="Y11" s="259" t="s">
        <v>61</v>
      </c>
      <c r="Z11" s="255" t="s">
        <v>62</v>
      </c>
      <c r="AA11" s="255" t="s">
        <v>63</v>
      </c>
      <c r="AB11" s="261" t="s">
        <v>64</v>
      </c>
      <c r="AC11" s="262" t="s">
        <v>65</v>
      </c>
      <c r="AD11" s="262" t="s">
        <v>65</v>
      </c>
      <c r="AE11" s="262" t="s">
        <v>64</v>
      </c>
      <c r="AF11" s="262" t="s">
        <v>64</v>
      </c>
      <c r="AG11" s="263"/>
      <c r="AH11" s="264" t="s">
        <v>8</v>
      </c>
      <c r="AI11" s="265" t="s">
        <v>9</v>
      </c>
      <c r="AJ11" s="265" t="s">
        <v>10</v>
      </c>
      <c r="AK11" s="266" t="s">
        <v>66</v>
      </c>
      <c r="AL11" s="267"/>
      <c r="AM11" s="268" t="s">
        <v>64</v>
      </c>
      <c r="AN11" s="269" t="s">
        <v>50</v>
      </c>
    </row>
    <row r="12" spans="2:40">
      <c r="B12" s="270" t="s">
        <v>67</v>
      </c>
      <c r="C12" s="271" t="s">
        <v>67</v>
      </c>
      <c r="D12" s="272">
        <v>76670568688</v>
      </c>
      <c r="E12" s="273" t="s">
        <v>51</v>
      </c>
      <c r="F12" s="274" t="s">
        <v>52</v>
      </c>
      <c r="G12" s="274" t="s">
        <v>53</v>
      </c>
      <c r="H12" s="275" t="s">
        <v>54</v>
      </c>
      <c r="I12" s="276" t="s">
        <v>55</v>
      </c>
      <c r="J12" s="275" t="s">
        <v>56</v>
      </c>
      <c r="K12" s="277">
        <v>5</v>
      </c>
      <c r="L12" s="278">
        <v>5</v>
      </c>
      <c r="M12" s="279">
        <v>5</v>
      </c>
      <c r="N12" s="274" t="s">
        <v>68</v>
      </c>
      <c r="O12" s="280" t="s">
        <v>58</v>
      </c>
      <c r="P12" s="281"/>
      <c r="Q12" s="282" t="s">
        <v>59</v>
      </c>
      <c r="R12" s="283" t="s">
        <v>51</v>
      </c>
      <c r="S12" s="284">
        <v>2600</v>
      </c>
      <c r="T12" s="285" t="s">
        <v>60</v>
      </c>
      <c r="U12" s="281"/>
      <c r="V12" s="281" t="s">
        <v>59</v>
      </c>
      <c r="W12" s="281" t="s">
        <v>51</v>
      </c>
      <c r="X12" s="286">
        <v>2601</v>
      </c>
      <c r="Y12" s="285" t="s">
        <v>61</v>
      </c>
      <c r="Z12" s="281" t="s">
        <v>62</v>
      </c>
      <c r="AA12" s="281" t="s">
        <v>63</v>
      </c>
      <c r="AB12" s="287" t="s">
        <v>64</v>
      </c>
      <c r="AC12" s="288" t="s">
        <v>65</v>
      </c>
      <c r="AD12" s="288" t="s">
        <v>65</v>
      </c>
      <c r="AE12" s="288" t="s">
        <v>64</v>
      </c>
      <c r="AF12" s="288" t="s">
        <v>64</v>
      </c>
      <c r="AG12" s="289"/>
      <c r="AH12" s="290" t="s">
        <v>8</v>
      </c>
      <c r="AI12" s="291" t="s">
        <v>9</v>
      </c>
      <c r="AJ12" s="291" t="s">
        <v>10</v>
      </c>
      <c r="AK12" s="292" t="s">
        <v>66</v>
      </c>
      <c r="AL12" s="293"/>
      <c r="AM12" s="294" t="s">
        <v>64</v>
      </c>
      <c r="AN12" s="295" t="s">
        <v>67</v>
      </c>
    </row>
    <row r="13" spans="2:40">
      <c r="B13" s="296" t="s">
        <v>69</v>
      </c>
      <c r="C13" s="270" t="s">
        <v>69</v>
      </c>
      <c r="D13" s="272">
        <v>76670568688</v>
      </c>
      <c r="E13" s="297" t="s">
        <v>51</v>
      </c>
      <c r="F13" s="298" t="s">
        <v>70</v>
      </c>
      <c r="G13" s="298" t="s">
        <v>53</v>
      </c>
      <c r="H13" s="275" t="s">
        <v>71</v>
      </c>
      <c r="I13" s="276" t="s">
        <v>55</v>
      </c>
      <c r="J13" s="275" t="s">
        <v>56</v>
      </c>
      <c r="K13" s="299">
        <v>5</v>
      </c>
      <c r="L13" s="278">
        <v>5</v>
      </c>
      <c r="M13" s="300" t="s">
        <v>72</v>
      </c>
      <c r="N13" s="298"/>
      <c r="O13" s="301" t="s">
        <v>58</v>
      </c>
      <c r="P13" s="302"/>
      <c r="Q13" s="303" t="s">
        <v>59</v>
      </c>
      <c r="R13" s="304" t="s">
        <v>51</v>
      </c>
      <c r="S13" s="305">
        <v>2600</v>
      </c>
      <c r="T13" s="306" t="s">
        <v>60</v>
      </c>
      <c r="U13" s="302"/>
      <c r="V13" s="302" t="s">
        <v>59</v>
      </c>
      <c r="W13" s="302" t="s">
        <v>51</v>
      </c>
      <c r="X13" s="307">
        <v>2601</v>
      </c>
      <c r="Y13" s="306" t="s">
        <v>73</v>
      </c>
      <c r="Z13" s="302" t="s">
        <v>74</v>
      </c>
      <c r="AA13" s="302" t="s">
        <v>75</v>
      </c>
      <c r="AB13" s="287" t="s">
        <v>64</v>
      </c>
      <c r="AC13" s="288" t="s">
        <v>64</v>
      </c>
      <c r="AD13" s="288" t="s">
        <v>64</v>
      </c>
      <c r="AE13" s="288" t="s">
        <v>64</v>
      </c>
      <c r="AF13" s="288" t="s">
        <v>64</v>
      </c>
      <c r="AG13" s="289"/>
      <c r="AH13" s="290" t="s">
        <v>8</v>
      </c>
      <c r="AI13" s="291" t="s">
        <v>9</v>
      </c>
      <c r="AJ13" s="291" t="s">
        <v>10</v>
      </c>
      <c r="AK13" s="292" t="s">
        <v>66</v>
      </c>
      <c r="AL13" s="308"/>
      <c r="AM13" s="294" t="s">
        <v>64</v>
      </c>
      <c r="AN13" s="309" t="s">
        <v>69</v>
      </c>
    </row>
    <row r="14" spans="2:40">
      <c r="B14" s="270" t="s">
        <v>566</v>
      </c>
      <c r="C14" s="271" t="s">
        <v>567</v>
      </c>
      <c r="D14" s="272">
        <v>94072010327</v>
      </c>
      <c r="E14" s="273" t="s">
        <v>78</v>
      </c>
      <c r="F14" s="274" t="s">
        <v>52</v>
      </c>
      <c r="G14" s="274" t="s">
        <v>89</v>
      </c>
      <c r="H14" s="275" t="s">
        <v>128</v>
      </c>
      <c r="I14" s="276" t="s">
        <v>55</v>
      </c>
      <c r="J14" s="275" t="s">
        <v>122</v>
      </c>
      <c r="K14" s="277">
        <v>5</v>
      </c>
      <c r="L14" s="310">
        <v>5</v>
      </c>
      <c r="M14" s="279" t="s">
        <v>72</v>
      </c>
      <c r="N14" s="274" t="s">
        <v>128</v>
      </c>
      <c r="O14" s="285" t="s">
        <v>568</v>
      </c>
      <c r="P14" s="281" t="s">
        <v>569</v>
      </c>
      <c r="Q14" s="281" t="s">
        <v>137</v>
      </c>
      <c r="R14" s="311" t="s">
        <v>114</v>
      </c>
      <c r="S14" s="284">
        <v>3000</v>
      </c>
      <c r="T14" s="285" t="s">
        <v>570</v>
      </c>
      <c r="U14" s="281"/>
      <c r="V14" s="281" t="s">
        <v>137</v>
      </c>
      <c r="W14" s="281" t="s">
        <v>114</v>
      </c>
      <c r="X14" s="284">
        <v>3001</v>
      </c>
      <c r="Y14" s="285"/>
      <c r="Z14" s="281"/>
      <c r="AA14" s="281"/>
      <c r="AB14" s="287" t="s">
        <v>64</v>
      </c>
      <c r="AC14" s="288" t="s">
        <v>64</v>
      </c>
      <c r="AD14" s="288" t="s">
        <v>64</v>
      </c>
      <c r="AE14" s="288" t="s">
        <v>64</v>
      </c>
      <c r="AF14" s="288" t="s">
        <v>64</v>
      </c>
      <c r="AG14" s="289"/>
      <c r="AH14" s="290" t="s">
        <v>8</v>
      </c>
      <c r="AI14" s="291" t="s">
        <v>9</v>
      </c>
      <c r="AJ14" s="291" t="s">
        <v>10</v>
      </c>
      <c r="AK14" s="292" t="s">
        <v>66</v>
      </c>
      <c r="AL14" s="293"/>
      <c r="AM14" s="294" t="s">
        <v>64</v>
      </c>
      <c r="AN14" s="309" t="s">
        <v>566</v>
      </c>
    </row>
    <row r="15" spans="2:40">
      <c r="B15" s="296" t="s">
        <v>571</v>
      </c>
      <c r="C15" s="271" t="s">
        <v>572</v>
      </c>
      <c r="D15" s="272">
        <v>19078551685</v>
      </c>
      <c r="E15" s="297" t="s">
        <v>78</v>
      </c>
      <c r="F15" s="298" t="s">
        <v>70</v>
      </c>
      <c r="G15" s="298" t="s">
        <v>53</v>
      </c>
      <c r="H15" s="312" t="s">
        <v>71</v>
      </c>
      <c r="I15" s="299" t="s">
        <v>79</v>
      </c>
      <c r="J15" s="298" t="s">
        <v>80</v>
      </c>
      <c r="K15" s="299">
        <v>5</v>
      </c>
      <c r="L15" s="278">
        <v>5</v>
      </c>
      <c r="M15" s="300" t="s">
        <v>72</v>
      </c>
      <c r="N15" s="313"/>
      <c r="O15" s="306" t="s">
        <v>573</v>
      </c>
      <c r="P15" s="302" t="s">
        <v>574</v>
      </c>
      <c r="Q15" s="302" t="s">
        <v>81</v>
      </c>
      <c r="R15" s="314" t="s">
        <v>82</v>
      </c>
      <c r="S15" s="305">
        <v>5000</v>
      </c>
      <c r="T15" s="306" t="s">
        <v>575</v>
      </c>
      <c r="U15" s="302" t="s">
        <v>576</v>
      </c>
      <c r="V15" s="302" t="s">
        <v>81</v>
      </c>
      <c r="W15" s="302" t="s">
        <v>82</v>
      </c>
      <c r="X15" s="307">
        <v>5000</v>
      </c>
      <c r="Y15" s="306" t="s">
        <v>577</v>
      </c>
      <c r="Z15" s="302" t="s">
        <v>578</v>
      </c>
      <c r="AA15" s="302" t="s">
        <v>579</v>
      </c>
      <c r="AB15" s="287" t="s">
        <v>64</v>
      </c>
      <c r="AC15" s="288" t="s">
        <v>64</v>
      </c>
      <c r="AD15" s="288" t="s">
        <v>64</v>
      </c>
      <c r="AE15" s="288" t="s">
        <v>64</v>
      </c>
      <c r="AF15" s="288" t="s">
        <v>64</v>
      </c>
      <c r="AG15" s="289"/>
      <c r="AH15" s="290" t="s">
        <v>8</v>
      </c>
      <c r="AI15" s="291" t="s">
        <v>9</v>
      </c>
      <c r="AJ15" s="291" t="s">
        <v>10</v>
      </c>
      <c r="AK15" s="292" t="s">
        <v>66</v>
      </c>
      <c r="AL15" s="308"/>
      <c r="AM15" s="294" t="s">
        <v>64</v>
      </c>
      <c r="AN15" s="309" t="s">
        <v>76</v>
      </c>
    </row>
    <row r="16" spans="2:40">
      <c r="B16" s="296" t="s">
        <v>76</v>
      </c>
      <c r="C16" s="271" t="s">
        <v>77</v>
      </c>
      <c r="D16" s="272">
        <v>19078551685</v>
      </c>
      <c r="E16" s="273" t="s">
        <v>78</v>
      </c>
      <c r="F16" s="274" t="s">
        <v>70</v>
      </c>
      <c r="G16" s="274" t="s">
        <v>53</v>
      </c>
      <c r="H16" s="315" t="s">
        <v>71</v>
      </c>
      <c r="I16" s="277" t="s">
        <v>79</v>
      </c>
      <c r="J16" s="274" t="s">
        <v>80</v>
      </c>
      <c r="K16" s="277">
        <v>5</v>
      </c>
      <c r="L16" s="278">
        <v>5</v>
      </c>
      <c r="M16" s="279" t="s">
        <v>72</v>
      </c>
      <c r="N16" s="316"/>
      <c r="O16" s="285" t="s">
        <v>573</v>
      </c>
      <c r="P16" s="281" t="s">
        <v>574</v>
      </c>
      <c r="Q16" s="281" t="s">
        <v>81</v>
      </c>
      <c r="R16" s="311" t="s">
        <v>82</v>
      </c>
      <c r="S16" s="284">
        <v>5000</v>
      </c>
      <c r="T16" s="285" t="s">
        <v>575</v>
      </c>
      <c r="U16" s="281" t="s">
        <v>576</v>
      </c>
      <c r="V16" s="281" t="s">
        <v>81</v>
      </c>
      <c r="W16" s="281" t="s">
        <v>82</v>
      </c>
      <c r="X16" s="284">
        <v>5000</v>
      </c>
      <c r="Y16" s="285" t="s">
        <v>577</v>
      </c>
      <c r="Z16" s="281" t="s">
        <v>578</v>
      </c>
      <c r="AA16" s="281" t="s">
        <v>579</v>
      </c>
      <c r="AB16" s="287" t="s">
        <v>64</v>
      </c>
      <c r="AC16" s="288" t="s">
        <v>64</v>
      </c>
      <c r="AD16" s="288" t="s">
        <v>64</v>
      </c>
      <c r="AE16" s="288" t="s">
        <v>64</v>
      </c>
      <c r="AF16" s="288" t="s">
        <v>64</v>
      </c>
      <c r="AG16" s="289"/>
      <c r="AH16" s="290" t="s">
        <v>8</v>
      </c>
      <c r="AI16" s="291" t="s">
        <v>9</v>
      </c>
      <c r="AJ16" s="291" t="s">
        <v>10</v>
      </c>
      <c r="AK16" s="292" t="s">
        <v>66</v>
      </c>
      <c r="AL16" s="293"/>
      <c r="AM16" s="294" t="s">
        <v>64</v>
      </c>
      <c r="AN16" s="309"/>
    </row>
    <row r="17" spans="2:40">
      <c r="B17" s="296" t="s">
        <v>83</v>
      </c>
      <c r="C17" s="271" t="s">
        <v>580</v>
      </c>
      <c r="D17" s="272">
        <v>19078551685</v>
      </c>
      <c r="E17" s="297" t="s">
        <v>82</v>
      </c>
      <c r="F17" s="298" t="s">
        <v>70</v>
      </c>
      <c r="G17" s="298" t="s">
        <v>53</v>
      </c>
      <c r="H17" s="275" t="s">
        <v>71</v>
      </c>
      <c r="I17" s="276" t="s">
        <v>55</v>
      </c>
      <c r="J17" s="275" t="s">
        <v>56</v>
      </c>
      <c r="K17" s="299">
        <v>5</v>
      </c>
      <c r="L17" s="278">
        <v>5</v>
      </c>
      <c r="M17" s="300">
        <v>5</v>
      </c>
      <c r="N17" s="298" t="s">
        <v>68</v>
      </c>
      <c r="O17" s="306" t="s">
        <v>573</v>
      </c>
      <c r="P17" s="302" t="s">
        <v>574</v>
      </c>
      <c r="Q17" s="302" t="s">
        <v>81</v>
      </c>
      <c r="R17" s="314" t="s">
        <v>82</v>
      </c>
      <c r="S17" s="305">
        <v>5000</v>
      </c>
      <c r="T17" s="306" t="s">
        <v>575</v>
      </c>
      <c r="U17" s="302" t="s">
        <v>576</v>
      </c>
      <c r="V17" s="302" t="s">
        <v>81</v>
      </c>
      <c r="W17" s="302" t="s">
        <v>82</v>
      </c>
      <c r="X17" s="305">
        <v>5000</v>
      </c>
      <c r="Y17" s="306" t="s">
        <v>577</v>
      </c>
      <c r="Z17" s="302" t="s">
        <v>578</v>
      </c>
      <c r="AA17" s="302" t="s">
        <v>579</v>
      </c>
      <c r="AB17" s="287" t="s">
        <v>64</v>
      </c>
      <c r="AC17" s="288" t="s">
        <v>64</v>
      </c>
      <c r="AD17" s="288" t="s">
        <v>64</v>
      </c>
      <c r="AE17" s="288" t="s">
        <v>64</v>
      </c>
      <c r="AF17" s="288" t="s">
        <v>64</v>
      </c>
      <c r="AG17" s="317"/>
      <c r="AH17" s="290" t="s">
        <v>8</v>
      </c>
      <c r="AI17" s="291" t="s">
        <v>9</v>
      </c>
      <c r="AJ17" s="291" t="s">
        <v>10</v>
      </c>
      <c r="AK17" s="292" t="s">
        <v>66</v>
      </c>
      <c r="AL17" s="308"/>
      <c r="AM17" s="294" t="s">
        <v>64</v>
      </c>
      <c r="AN17" s="309" t="s">
        <v>83</v>
      </c>
    </row>
    <row r="18" spans="2:40">
      <c r="B18" s="296" t="s">
        <v>84</v>
      </c>
      <c r="C18" s="271" t="s">
        <v>85</v>
      </c>
      <c r="D18" s="272">
        <v>19078551685</v>
      </c>
      <c r="E18" s="273" t="s">
        <v>78</v>
      </c>
      <c r="F18" s="274" t="s">
        <v>70</v>
      </c>
      <c r="G18" s="274" t="s">
        <v>53</v>
      </c>
      <c r="H18" s="315" t="s">
        <v>71</v>
      </c>
      <c r="I18" s="277" t="s">
        <v>79</v>
      </c>
      <c r="J18" s="274" t="s">
        <v>80</v>
      </c>
      <c r="K18" s="277">
        <v>5</v>
      </c>
      <c r="L18" s="278">
        <v>5</v>
      </c>
      <c r="M18" s="279" t="s">
        <v>72</v>
      </c>
      <c r="N18" s="316"/>
      <c r="O18" s="285" t="s">
        <v>573</v>
      </c>
      <c r="P18" s="281" t="s">
        <v>574</v>
      </c>
      <c r="Q18" s="281" t="s">
        <v>81</v>
      </c>
      <c r="R18" s="311" t="s">
        <v>82</v>
      </c>
      <c r="S18" s="284">
        <v>5000</v>
      </c>
      <c r="T18" s="285" t="s">
        <v>575</v>
      </c>
      <c r="U18" s="281" t="s">
        <v>576</v>
      </c>
      <c r="V18" s="281" t="s">
        <v>81</v>
      </c>
      <c r="W18" s="281" t="s">
        <v>82</v>
      </c>
      <c r="X18" s="284">
        <v>5000</v>
      </c>
      <c r="Y18" s="285" t="s">
        <v>577</v>
      </c>
      <c r="Z18" s="281" t="s">
        <v>578</v>
      </c>
      <c r="AA18" s="281" t="s">
        <v>579</v>
      </c>
      <c r="AB18" s="287" t="s">
        <v>64</v>
      </c>
      <c r="AC18" s="288" t="s">
        <v>64</v>
      </c>
      <c r="AD18" s="288" t="s">
        <v>64</v>
      </c>
      <c r="AE18" s="288" t="s">
        <v>64</v>
      </c>
      <c r="AF18" s="288" t="s">
        <v>64</v>
      </c>
      <c r="AG18" s="317"/>
      <c r="AH18" s="290" t="s">
        <v>8</v>
      </c>
      <c r="AI18" s="291" t="s">
        <v>9</v>
      </c>
      <c r="AJ18" s="291" t="s">
        <v>10</v>
      </c>
      <c r="AK18" s="292" t="s">
        <v>66</v>
      </c>
      <c r="AL18" s="293"/>
      <c r="AM18" s="294" t="s">
        <v>64</v>
      </c>
      <c r="AN18" s="309" t="s">
        <v>84</v>
      </c>
    </row>
    <row r="19" spans="2:40">
      <c r="B19" s="296" t="s">
        <v>86</v>
      </c>
      <c r="C19" s="271" t="s">
        <v>87</v>
      </c>
      <c r="D19" s="272">
        <v>39009737393</v>
      </c>
      <c r="E19" s="297" t="s">
        <v>88</v>
      </c>
      <c r="F19" s="298" t="s">
        <v>70</v>
      </c>
      <c r="G19" s="298" t="s">
        <v>89</v>
      </c>
      <c r="H19" s="275" t="s">
        <v>71</v>
      </c>
      <c r="I19" s="276" t="s">
        <v>55</v>
      </c>
      <c r="J19" s="275" t="s">
        <v>56</v>
      </c>
      <c r="K19" s="299">
        <v>5</v>
      </c>
      <c r="L19" s="278">
        <v>5</v>
      </c>
      <c r="M19" s="300" t="s">
        <v>72</v>
      </c>
      <c r="N19" s="298" t="s">
        <v>90</v>
      </c>
      <c r="O19" s="306" t="s">
        <v>91</v>
      </c>
      <c r="P19" s="302" t="s">
        <v>92</v>
      </c>
      <c r="Q19" s="302" t="s">
        <v>93</v>
      </c>
      <c r="R19" s="314" t="s">
        <v>94</v>
      </c>
      <c r="S19" s="305">
        <v>2000</v>
      </c>
      <c r="T19" s="306" t="s">
        <v>91</v>
      </c>
      <c r="U19" s="302" t="s">
        <v>92</v>
      </c>
      <c r="V19" s="302" t="s">
        <v>93</v>
      </c>
      <c r="W19" s="314" t="s">
        <v>94</v>
      </c>
      <c r="X19" s="305">
        <v>2000</v>
      </c>
      <c r="Y19" s="306" t="s">
        <v>95</v>
      </c>
      <c r="Z19" s="302" t="s">
        <v>96</v>
      </c>
      <c r="AA19" s="302" t="s">
        <v>97</v>
      </c>
      <c r="AB19" s="287" t="s">
        <v>64</v>
      </c>
      <c r="AC19" s="288" t="s">
        <v>64</v>
      </c>
      <c r="AD19" s="288" t="s">
        <v>64</v>
      </c>
      <c r="AE19" s="288" t="s">
        <v>64</v>
      </c>
      <c r="AF19" s="288" t="s">
        <v>64</v>
      </c>
      <c r="AG19" s="289"/>
      <c r="AH19" s="290" t="s">
        <v>8</v>
      </c>
      <c r="AI19" s="291" t="s">
        <v>9</v>
      </c>
      <c r="AJ19" s="291" t="s">
        <v>10</v>
      </c>
      <c r="AK19" s="292" t="s">
        <v>66</v>
      </c>
      <c r="AL19" s="308"/>
      <c r="AM19" s="294" t="s">
        <v>64</v>
      </c>
      <c r="AN19" s="309" t="s">
        <v>86</v>
      </c>
    </row>
    <row r="20" spans="2:40">
      <c r="B20" s="296" t="s">
        <v>98</v>
      </c>
      <c r="C20" s="271" t="s">
        <v>99</v>
      </c>
      <c r="D20" s="272" t="s">
        <v>581</v>
      </c>
      <c r="E20" s="273" t="s">
        <v>78</v>
      </c>
      <c r="F20" s="274" t="s">
        <v>70</v>
      </c>
      <c r="G20" s="274" t="s">
        <v>89</v>
      </c>
      <c r="H20" s="315" t="s">
        <v>71</v>
      </c>
      <c r="I20" s="276" t="s">
        <v>79</v>
      </c>
      <c r="J20" s="275" t="s">
        <v>80</v>
      </c>
      <c r="K20" s="277">
        <v>5</v>
      </c>
      <c r="L20" s="318">
        <v>5</v>
      </c>
      <c r="M20" s="279" t="s">
        <v>72</v>
      </c>
      <c r="N20" s="274"/>
      <c r="O20" s="285" t="s">
        <v>91</v>
      </c>
      <c r="P20" s="281" t="s">
        <v>92</v>
      </c>
      <c r="Q20" s="281" t="s">
        <v>93</v>
      </c>
      <c r="R20" s="311" t="s">
        <v>94</v>
      </c>
      <c r="S20" s="284">
        <v>2000</v>
      </c>
      <c r="T20" s="285" t="s">
        <v>100</v>
      </c>
      <c r="U20" s="281"/>
      <c r="V20" s="281" t="s">
        <v>101</v>
      </c>
      <c r="W20" s="311" t="s">
        <v>94</v>
      </c>
      <c r="X20" s="284">
        <v>1225</v>
      </c>
      <c r="Y20" s="285" t="s">
        <v>95</v>
      </c>
      <c r="Z20" s="281" t="s">
        <v>96</v>
      </c>
      <c r="AA20" s="281" t="s">
        <v>97</v>
      </c>
      <c r="AB20" s="287" t="s">
        <v>64</v>
      </c>
      <c r="AC20" s="288" t="s">
        <v>64</v>
      </c>
      <c r="AD20" s="288" t="s">
        <v>64</v>
      </c>
      <c r="AE20" s="288" t="s">
        <v>64</v>
      </c>
      <c r="AF20" s="288" t="s">
        <v>64</v>
      </c>
      <c r="AG20" s="289"/>
      <c r="AH20" s="290" t="s">
        <v>8</v>
      </c>
      <c r="AI20" s="291" t="s">
        <v>9</v>
      </c>
      <c r="AJ20" s="291" t="s">
        <v>10</v>
      </c>
      <c r="AK20" s="292" t="s">
        <v>66</v>
      </c>
      <c r="AL20" s="293"/>
      <c r="AM20" s="294" t="s">
        <v>64</v>
      </c>
      <c r="AN20" s="309" t="s">
        <v>98</v>
      </c>
    </row>
    <row r="21" spans="2:40">
      <c r="B21" s="270" t="s">
        <v>102</v>
      </c>
      <c r="C21" s="271" t="s">
        <v>102</v>
      </c>
      <c r="D21" s="272">
        <v>78508211731</v>
      </c>
      <c r="E21" s="297" t="s">
        <v>94</v>
      </c>
      <c r="F21" s="298" t="s">
        <v>52</v>
      </c>
      <c r="G21" s="298" t="s">
        <v>53</v>
      </c>
      <c r="H21" s="275" t="s">
        <v>54</v>
      </c>
      <c r="I21" s="276" t="s">
        <v>55</v>
      </c>
      <c r="J21" s="275" t="s">
        <v>56</v>
      </c>
      <c r="K21" s="299">
        <v>5</v>
      </c>
      <c r="L21" s="278">
        <v>5</v>
      </c>
      <c r="M21" s="300">
        <v>5</v>
      </c>
      <c r="N21" s="313" t="s">
        <v>57</v>
      </c>
      <c r="O21" s="306" t="s">
        <v>103</v>
      </c>
      <c r="P21" s="302"/>
      <c r="Q21" s="302" t="s">
        <v>93</v>
      </c>
      <c r="R21" s="314" t="s">
        <v>94</v>
      </c>
      <c r="S21" s="305">
        <v>2000</v>
      </c>
      <c r="T21" s="306" t="s">
        <v>582</v>
      </c>
      <c r="U21" s="302"/>
      <c r="V21" s="302" t="s">
        <v>93</v>
      </c>
      <c r="W21" s="302" t="s">
        <v>94</v>
      </c>
      <c r="X21" s="305">
        <v>2001</v>
      </c>
      <c r="Y21" s="306" t="s">
        <v>104</v>
      </c>
      <c r="Z21" s="302" t="s">
        <v>617</v>
      </c>
      <c r="AA21" s="302" t="s">
        <v>105</v>
      </c>
      <c r="AB21" s="319" t="s">
        <v>65</v>
      </c>
      <c r="AC21" s="320" t="s">
        <v>65</v>
      </c>
      <c r="AD21" s="320" t="s">
        <v>65</v>
      </c>
      <c r="AE21" s="320" t="s">
        <v>65</v>
      </c>
      <c r="AF21" s="320" t="s">
        <v>64</v>
      </c>
      <c r="AG21" s="317"/>
      <c r="AH21" s="290" t="s">
        <v>8</v>
      </c>
      <c r="AI21" s="291" t="s">
        <v>9</v>
      </c>
      <c r="AJ21" s="291" t="s">
        <v>10</v>
      </c>
      <c r="AK21" s="292" t="s">
        <v>66</v>
      </c>
      <c r="AL21" s="308"/>
      <c r="AM21" s="294" t="s">
        <v>65</v>
      </c>
      <c r="AN21" s="295" t="s">
        <v>102</v>
      </c>
    </row>
    <row r="22" spans="2:40">
      <c r="B22" s="270" t="s">
        <v>106</v>
      </c>
      <c r="C22" s="271" t="s">
        <v>106</v>
      </c>
      <c r="D22" s="272">
        <v>67505337385</v>
      </c>
      <c r="E22" s="273" t="s">
        <v>94</v>
      </c>
      <c r="F22" s="274" t="s">
        <v>52</v>
      </c>
      <c r="G22" s="274" t="s">
        <v>53</v>
      </c>
      <c r="H22" s="275" t="s">
        <v>54</v>
      </c>
      <c r="I22" s="276" t="s">
        <v>55</v>
      </c>
      <c r="J22" s="275" t="s">
        <v>56</v>
      </c>
      <c r="K22" s="277">
        <v>5</v>
      </c>
      <c r="L22" s="278">
        <v>5</v>
      </c>
      <c r="M22" s="279">
        <v>5</v>
      </c>
      <c r="N22" s="274" t="s">
        <v>68</v>
      </c>
      <c r="O22" s="285" t="s">
        <v>103</v>
      </c>
      <c r="P22" s="281"/>
      <c r="Q22" s="281" t="s">
        <v>93</v>
      </c>
      <c r="R22" s="311" t="s">
        <v>94</v>
      </c>
      <c r="S22" s="284">
        <v>2000</v>
      </c>
      <c r="T22" s="285" t="s">
        <v>582</v>
      </c>
      <c r="U22" s="281"/>
      <c r="V22" s="281" t="s">
        <v>93</v>
      </c>
      <c r="W22" s="281" t="s">
        <v>94</v>
      </c>
      <c r="X22" s="284">
        <v>2001</v>
      </c>
      <c r="Y22" s="306" t="s">
        <v>104</v>
      </c>
      <c r="Z22" s="302" t="s">
        <v>617</v>
      </c>
      <c r="AA22" s="302" t="s">
        <v>105</v>
      </c>
      <c r="AB22" s="319" t="s">
        <v>65</v>
      </c>
      <c r="AC22" s="320" t="s">
        <v>65</v>
      </c>
      <c r="AD22" s="320" t="s">
        <v>65</v>
      </c>
      <c r="AE22" s="320" t="s">
        <v>65</v>
      </c>
      <c r="AF22" s="320" t="s">
        <v>64</v>
      </c>
      <c r="AG22" s="289"/>
      <c r="AH22" s="290" t="s">
        <v>8</v>
      </c>
      <c r="AI22" s="291" t="s">
        <v>9</v>
      </c>
      <c r="AJ22" s="291" t="s">
        <v>10</v>
      </c>
      <c r="AK22" s="292" t="s">
        <v>66</v>
      </c>
      <c r="AL22" s="293"/>
      <c r="AM22" s="294" t="s">
        <v>64</v>
      </c>
      <c r="AN22" s="295" t="s">
        <v>106</v>
      </c>
    </row>
    <row r="23" spans="2:40" ht="15" customHeight="1">
      <c r="B23" s="270" t="s">
        <v>107</v>
      </c>
      <c r="C23" s="271" t="s">
        <v>583</v>
      </c>
      <c r="D23" s="272">
        <v>91064651118</v>
      </c>
      <c r="E23" s="297" t="s">
        <v>78</v>
      </c>
      <c r="F23" s="298" t="s">
        <v>52</v>
      </c>
      <c r="G23" s="298" t="s">
        <v>53</v>
      </c>
      <c r="H23" s="275" t="s">
        <v>54</v>
      </c>
      <c r="I23" s="276" t="s">
        <v>79</v>
      </c>
      <c r="J23" s="275" t="s">
        <v>80</v>
      </c>
      <c r="K23" s="299">
        <v>5</v>
      </c>
      <c r="L23" s="278">
        <v>5</v>
      </c>
      <c r="M23" s="300">
        <v>2</v>
      </c>
      <c r="N23" s="313" t="s">
        <v>108</v>
      </c>
      <c r="O23" s="306" t="s">
        <v>109</v>
      </c>
      <c r="P23" s="302" t="s">
        <v>110</v>
      </c>
      <c r="Q23" s="302" t="s">
        <v>111</v>
      </c>
      <c r="R23" s="302" t="s">
        <v>78</v>
      </c>
      <c r="S23" s="305">
        <v>3006</v>
      </c>
      <c r="T23" s="321" t="s">
        <v>112</v>
      </c>
      <c r="U23" s="302"/>
      <c r="V23" s="302" t="s">
        <v>113</v>
      </c>
      <c r="W23" s="302" t="s">
        <v>114</v>
      </c>
      <c r="X23" s="305">
        <v>8001</v>
      </c>
      <c r="Y23" s="306" t="s">
        <v>618</v>
      </c>
      <c r="Z23" s="322"/>
      <c r="AA23" s="322"/>
      <c r="AB23" s="319" t="s">
        <v>64</v>
      </c>
      <c r="AC23" s="320" t="s">
        <v>65</v>
      </c>
      <c r="AD23" s="320" t="s">
        <v>65</v>
      </c>
      <c r="AE23" s="320" t="s">
        <v>65</v>
      </c>
      <c r="AF23" s="320" t="s">
        <v>64</v>
      </c>
      <c r="AG23" s="317"/>
      <c r="AH23" s="290" t="s">
        <v>8</v>
      </c>
      <c r="AI23" s="291" t="s">
        <v>9</v>
      </c>
      <c r="AJ23" s="291" t="s">
        <v>10</v>
      </c>
      <c r="AK23" s="292" t="s">
        <v>66</v>
      </c>
      <c r="AL23" s="308"/>
      <c r="AM23" s="294" t="s">
        <v>65</v>
      </c>
      <c r="AN23" s="295" t="s">
        <v>107</v>
      </c>
    </row>
    <row r="24" spans="2:40" ht="15" customHeight="1">
      <c r="B24" s="296" t="s">
        <v>118</v>
      </c>
      <c r="C24" s="271" t="s">
        <v>119</v>
      </c>
      <c r="D24" s="272" t="s">
        <v>584</v>
      </c>
      <c r="E24" s="273" t="s">
        <v>78</v>
      </c>
      <c r="F24" s="274" t="s">
        <v>70</v>
      </c>
      <c r="G24" s="274" t="s">
        <v>53</v>
      </c>
      <c r="H24" s="315" t="s">
        <v>71</v>
      </c>
      <c r="I24" s="276" t="s">
        <v>79</v>
      </c>
      <c r="J24" s="275" t="s">
        <v>80</v>
      </c>
      <c r="K24" s="277">
        <v>5</v>
      </c>
      <c r="L24" s="278">
        <v>5</v>
      </c>
      <c r="M24" s="279" t="s">
        <v>120</v>
      </c>
      <c r="N24" s="316"/>
      <c r="O24" s="285" t="s">
        <v>91</v>
      </c>
      <c r="P24" s="281" t="s">
        <v>92</v>
      </c>
      <c r="Q24" s="281" t="s">
        <v>93</v>
      </c>
      <c r="R24" s="281" t="s">
        <v>94</v>
      </c>
      <c r="S24" s="284">
        <v>2000</v>
      </c>
      <c r="T24" s="323" t="s">
        <v>100</v>
      </c>
      <c r="U24" s="281"/>
      <c r="V24" s="281" t="s">
        <v>101</v>
      </c>
      <c r="W24" s="281" t="s">
        <v>94</v>
      </c>
      <c r="X24" s="284">
        <v>1225</v>
      </c>
      <c r="Y24" s="285" t="s">
        <v>95</v>
      </c>
      <c r="Z24" s="324" t="s">
        <v>96</v>
      </c>
      <c r="AA24" s="324" t="s">
        <v>97</v>
      </c>
      <c r="AB24" s="287" t="s">
        <v>64</v>
      </c>
      <c r="AC24" s="288" t="s">
        <v>64</v>
      </c>
      <c r="AD24" s="288" t="s">
        <v>64</v>
      </c>
      <c r="AE24" s="288" t="s">
        <v>64</v>
      </c>
      <c r="AF24" s="288" t="s">
        <v>64</v>
      </c>
      <c r="AG24" s="289"/>
      <c r="AH24" s="290" t="s">
        <v>8</v>
      </c>
      <c r="AI24" s="291" t="s">
        <v>9</v>
      </c>
      <c r="AJ24" s="291" t="s">
        <v>10</v>
      </c>
      <c r="AK24" s="292" t="s">
        <v>66</v>
      </c>
      <c r="AL24" s="293"/>
      <c r="AM24" s="294" t="s">
        <v>64</v>
      </c>
      <c r="AN24" s="309" t="s">
        <v>118</v>
      </c>
    </row>
    <row r="25" spans="2:40">
      <c r="B25" s="270" t="s">
        <v>121</v>
      </c>
      <c r="C25" s="325" t="s">
        <v>585</v>
      </c>
      <c r="D25" s="326">
        <v>48116124362</v>
      </c>
      <c r="E25" s="297" t="s">
        <v>78</v>
      </c>
      <c r="F25" s="298" t="s">
        <v>52</v>
      </c>
      <c r="G25" s="298" t="s">
        <v>89</v>
      </c>
      <c r="H25" s="275" t="s">
        <v>54</v>
      </c>
      <c r="I25" s="276" t="s">
        <v>55</v>
      </c>
      <c r="J25" s="275" t="s">
        <v>122</v>
      </c>
      <c r="K25" s="299">
        <v>5</v>
      </c>
      <c r="L25" s="327">
        <v>5</v>
      </c>
      <c r="M25" s="300">
        <v>2</v>
      </c>
      <c r="N25" s="298" t="s">
        <v>123</v>
      </c>
      <c r="O25" s="306" t="s">
        <v>109</v>
      </c>
      <c r="P25" s="302" t="s">
        <v>110</v>
      </c>
      <c r="Q25" s="302" t="s">
        <v>111</v>
      </c>
      <c r="R25" s="302" t="s">
        <v>78</v>
      </c>
      <c r="S25" s="305">
        <v>3006</v>
      </c>
      <c r="T25" s="306" t="s">
        <v>112</v>
      </c>
      <c r="U25" s="302"/>
      <c r="V25" s="302" t="s">
        <v>113</v>
      </c>
      <c r="W25" s="302" t="s">
        <v>78</v>
      </c>
      <c r="X25" s="305">
        <v>8001</v>
      </c>
      <c r="Y25" s="306" t="s">
        <v>124</v>
      </c>
      <c r="Z25" s="322" t="s">
        <v>125</v>
      </c>
      <c r="AA25" s="322" t="s">
        <v>126</v>
      </c>
      <c r="AB25" s="287" t="s">
        <v>64</v>
      </c>
      <c r="AC25" s="288" t="s">
        <v>64</v>
      </c>
      <c r="AD25" s="288" t="s">
        <v>64</v>
      </c>
      <c r="AE25" s="288" t="s">
        <v>64</v>
      </c>
      <c r="AF25" s="288" t="s">
        <v>64</v>
      </c>
      <c r="AG25" s="289"/>
      <c r="AH25" s="290" t="s">
        <v>8</v>
      </c>
      <c r="AI25" s="291" t="s">
        <v>9</v>
      </c>
      <c r="AJ25" s="291" t="s">
        <v>10</v>
      </c>
      <c r="AK25" s="292" t="s">
        <v>66</v>
      </c>
      <c r="AL25" s="308"/>
      <c r="AM25" s="294" t="s">
        <v>64</v>
      </c>
      <c r="AN25" s="295" t="s">
        <v>121</v>
      </c>
    </row>
    <row r="26" spans="2:40">
      <c r="B26" s="328" t="s">
        <v>127</v>
      </c>
      <c r="C26" s="329" t="s">
        <v>127</v>
      </c>
      <c r="D26" s="330">
        <v>11222333444</v>
      </c>
      <c r="E26" s="331" t="s">
        <v>128</v>
      </c>
      <c r="F26" s="332" t="s">
        <v>52</v>
      </c>
      <c r="G26" s="332" t="s">
        <v>53</v>
      </c>
      <c r="H26" s="332" t="s">
        <v>54</v>
      </c>
      <c r="I26" s="333" t="s">
        <v>55</v>
      </c>
      <c r="J26" s="332" t="s">
        <v>56</v>
      </c>
      <c r="K26" s="334">
        <v>5</v>
      </c>
      <c r="L26" s="335">
        <v>5</v>
      </c>
      <c r="M26" s="336">
        <v>2</v>
      </c>
      <c r="N26" s="332" t="s">
        <v>68</v>
      </c>
      <c r="O26" s="337" t="s">
        <v>129</v>
      </c>
      <c r="P26" s="338"/>
      <c r="Q26" s="338" t="s">
        <v>93</v>
      </c>
      <c r="R26" s="339" t="s">
        <v>94</v>
      </c>
      <c r="S26" s="340">
        <v>2000</v>
      </c>
      <c r="T26" s="337" t="s">
        <v>130</v>
      </c>
      <c r="U26" s="338"/>
      <c r="V26" s="338" t="s">
        <v>93</v>
      </c>
      <c r="W26" s="338" t="s">
        <v>94</v>
      </c>
      <c r="X26" s="340">
        <v>2000</v>
      </c>
      <c r="Y26" s="337" t="s">
        <v>131</v>
      </c>
      <c r="Z26" s="338" t="s">
        <v>132</v>
      </c>
      <c r="AA26" s="338" t="s">
        <v>133</v>
      </c>
      <c r="AB26" s="319" t="s">
        <v>65</v>
      </c>
      <c r="AC26" s="320" t="s">
        <v>65</v>
      </c>
      <c r="AD26" s="320" t="s">
        <v>65</v>
      </c>
      <c r="AE26" s="320" t="s">
        <v>65</v>
      </c>
      <c r="AF26" s="320" t="s">
        <v>64</v>
      </c>
      <c r="AG26" s="289"/>
      <c r="AH26" s="290" t="s">
        <v>8</v>
      </c>
      <c r="AI26" s="291" t="s">
        <v>9</v>
      </c>
      <c r="AJ26" s="291" t="s">
        <v>10</v>
      </c>
      <c r="AK26" s="292" t="s">
        <v>66</v>
      </c>
      <c r="AL26" s="293"/>
      <c r="AM26" s="294" t="s">
        <v>65</v>
      </c>
      <c r="AN26" s="341" t="s">
        <v>127</v>
      </c>
    </row>
    <row r="27" spans="2:40">
      <c r="B27" s="328" t="s">
        <v>619</v>
      </c>
      <c r="C27" s="329" t="s">
        <v>620</v>
      </c>
      <c r="D27" s="330">
        <v>11222333444</v>
      </c>
      <c r="E27" s="331" t="s">
        <v>94</v>
      </c>
      <c r="F27" s="332" t="s">
        <v>70</v>
      </c>
      <c r="G27" s="332" t="s">
        <v>53</v>
      </c>
      <c r="H27" s="332" t="s">
        <v>71</v>
      </c>
      <c r="I27" s="333" t="s">
        <v>55</v>
      </c>
      <c r="J27" s="332" t="s">
        <v>56</v>
      </c>
      <c r="K27" s="334">
        <v>5</v>
      </c>
      <c r="L27" s="335">
        <v>5</v>
      </c>
      <c r="M27" s="336"/>
      <c r="N27" s="332"/>
      <c r="O27" s="337" t="s">
        <v>129</v>
      </c>
      <c r="P27" s="338"/>
      <c r="Q27" s="338" t="s">
        <v>93</v>
      </c>
      <c r="R27" s="339" t="s">
        <v>94</v>
      </c>
      <c r="S27" s="340">
        <v>2000</v>
      </c>
      <c r="T27" s="337" t="s">
        <v>130</v>
      </c>
      <c r="U27" s="338"/>
      <c r="V27" s="338" t="s">
        <v>93</v>
      </c>
      <c r="W27" s="338" t="s">
        <v>94</v>
      </c>
      <c r="X27" s="340">
        <v>2000</v>
      </c>
      <c r="Y27" s="337" t="s">
        <v>131</v>
      </c>
      <c r="Z27" s="338" t="s">
        <v>132</v>
      </c>
      <c r="AA27" s="338" t="s">
        <v>133</v>
      </c>
      <c r="AB27" s="287" t="s">
        <v>64</v>
      </c>
      <c r="AC27" s="288" t="s">
        <v>64</v>
      </c>
      <c r="AD27" s="288" t="s">
        <v>64</v>
      </c>
      <c r="AE27" s="288" t="s">
        <v>64</v>
      </c>
      <c r="AF27" s="320" t="s">
        <v>64</v>
      </c>
      <c r="AG27" s="289"/>
      <c r="AH27" s="290" t="s">
        <v>8</v>
      </c>
      <c r="AI27" s="291" t="s">
        <v>9</v>
      </c>
      <c r="AJ27" s="291" t="s">
        <v>10</v>
      </c>
      <c r="AK27" s="292" t="s">
        <v>66</v>
      </c>
      <c r="AL27" s="308"/>
      <c r="AM27" s="294" t="s">
        <v>64</v>
      </c>
      <c r="AN27" s="341" t="s">
        <v>586</v>
      </c>
    </row>
    <row r="28" spans="2:40">
      <c r="B28" s="328" t="s">
        <v>586</v>
      </c>
      <c r="C28" s="329" t="s">
        <v>587</v>
      </c>
      <c r="D28" s="330">
        <v>11222333444</v>
      </c>
      <c r="E28" s="331" t="s">
        <v>78</v>
      </c>
      <c r="F28" s="332" t="s">
        <v>52</v>
      </c>
      <c r="G28" s="332" t="s">
        <v>53</v>
      </c>
      <c r="H28" s="332" t="s">
        <v>54</v>
      </c>
      <c r="I28" s="333" t="s">
        <v>79</v>
      </c>
      <c r="J28" s="332" t="s">
        <v>80</v>
      </c>
      <c r="K28" s="334">
        <v>5</v>
      </c>
      <c r="L28" s="335">
        <v>5</v>
      </c>
      <c r="M28" s="336">
        <v>2</v>
      </c>
      <c r="N28" s="332" t="s">
        <v>68</v>
      </c>
      <c r="O28" s="337" t="s">
        <v>129</v>
      </c>
      <c r="P28" s="338"/>
      <c r="Q28" s="338" t="s">
        <v>137</v>
      </c>
      <c r="R28" s="339" t="s">
        <v>78</v>
      </c>
      <c r="S28" s="340">
        <v>3000</v>
      </c>
      <c r="T28" s="337" t="s">
        <v>130</v>
      </c>
      <c r="U28" s="338"/>
      <c r="V28" s="338" t="s">
        <v>137</v>
      </c>
      <c r="W28" s="338" t="s">
        <v>114</v>
      </c>
      <c r="X28" s="340">
        <v>3000</v>
      </c>
      <c r="Y28" s="337" t="s">
        <v>131</v>
      </c>
      <c r="Z28" s="338" t="s">
        <v>132</v>
      </c>
      <c r="AA28" s="338" t="s">
        <v>133</v>
      </c>
      <c r="AB28" s="287" t="s">
        <v>64</v>
      </c>
      <c r="AC28" s="288" t="s">
        <v>64</v>
      </c>
      <c r="AD28" s="288" t="s">
        <v>64</v>
      </c>
      <c r="AE28" s="288" t="s">
        <v>64</v>
      </c>
      <c r="AF28" s="320" t="s">
        <v>64</v>
      </c>
      <c r="AG28" s="289"/>
      <c r="AH28" s="290" t="s">
        <v>8</v>
      </c>
      <c r="AI28" s="291" t="s">
        <v>9</v>
      </c>
      <c r="AJ28" s="291" t="s">
        <v>10</v>
      </c>
      <c r="AK28" s="292" t="s">
        <v>66</v>
      </c>
      <c r="AL28" s="308"/>
      <c r="AM28" s="294" t="s">
        <v>65</v>
      </c>
      <c r="AN28" s="341" t="s">
        <v>586</v>
      </c>
    </row>
    <row r="29" spans="2:40">
      <c r="B29" s="328" t="s">
        <v>134</v>
      </c>
      <c r="C29" s="329" t="s">
        <v>134</v>
      </c>
      <c r="D29" s="330">
        <v>11222333444</v>
      </c>
      <c r="E29" s="331" t="s">
        <v>128</v>
      </c>
      <c r="F29" s="332" t="s">
        <v>52</v>
      </c>
      <c r="G29" s="332" t="s">
        <v>89</v>
      </c>
      <c r="H29" s="342" t="s">
        <v>54</v>
      </c>
      <c r="I29" s="343" t="s">
        <v>55</v>
      </c>
      <c r="J29" s="342" t="s">
        <v>56</v>
      </c>
      <c r="K29" s="333">
        <v>5</v>
      </c>
      <c r="L29" s="344">
        <v>5</v>
      </c>
      <c r="M29" s="336">
        <v>5</v>
      </c>
      <c r="N29" s="332" t="s">
        <v>123</v>
      </c>
      <c r="O29" s="337" t="s">
        <v>129</v>
      </c>
      <c r="P29" s="338"/>
      <c r="Q29" s="338" t="s">
        <v>93</v>
      </c>
      <c r="R29" s="339" t="s">
        <v>94</v>
      </c>
      <c r="S29" s="340">
        <v>2000</v>
      </c>
      <c r="T29" s="337" t="s">
        <v>130</v>
      </c>
      <c r="U29" s="338"/>
      <c r="V29" s="338" t="s">
        <v>93</v>
      </c>
      <c r="W29" s="338" t="s">
        <v>94</v>
      </c>
      <c r="X29" s="340">
        <v>2000</v>
      </c>
      <c r="Y29" s="337" t="s">
        <v>131</v>
      </c>
      <c r="Z29" s="338" t="s">
        <v>132</v>
      </c>
      <c r="AA29" s="338" t="s">
        <v>133</v>
      </c>
      <c r="AB29" s="287" t="s">
        <v>64</v>
      </c>
      <c r="AC29" s="288" t="s">
        <v>64</v>
      </c>
      <c r="AD29" s="288" t="s">
        <v>64</v>
      </c>
      <c r="AE29" s="288" t="s">
        <v>64</v>
      </c>
      <c r="AF29" s="320" t="s">
        <v>64</v>
      </c>
      <c r="AG29" s="289"/>
      <c r="AH29" s="290" t="s">
        <v>8</v>
      </c>
      <c r="AI29" s="291" t="s">
        <v>9</v>
      </c>
      <c r="AJ29" s="291" t="s">
        <v>10</v>
      </c>
      <c r="AK29" s="292" t="s">
        <v>66</v>
      </c>
      <c r="AL29" s="293"/>
      <c r="AM29" s="294" t="s">
        <v>64</v>
      </c>
      <c r="AN29" s="341" t="s">
        <v>134</v>
      </c>
    </row>
    <row r="30" spans="2:40">
      <c r="B30" s="270" t="s">
        <v>621</v>
      </c>
      <c r="C30" s="271" t="s">
        <v>622</v>
      </c>
      <c r="D30" s="272">
        <v>108218355</v>
      </c>
      <c r="E30" s="297" t="s">
        <v>94</v>
      </c>
      <c r="F30" s="298" t="s">
        <v>70</v>
      </c>
      <c r="G30" s="298" t="s">
        <v>53</v>
      </c>
      <c r="H30" s="275" t="s">
        <v>71</v>
      </c>
      <c r="I30" s="276" t="s">
        <v>55</v>
      </c>
      <c r="J30" s="275" t="s">
        <v>56</v>
      </c>
      <c r="K30" s="299">
        <v>15</v>
      </c>
      <c r="L30" s="278">
        <v>5</v>
      </c>
      <c r="M30" s="300">
        <v>5</v>
      </c>
      <c r="N30" s="313" t="s">
        <v>68</v>
      </c>
      <c r="O30" s="306" t="s">
        <v>597</v>
      </c>
      <c r="P30" s="302" t="s">
        <v>92</v>
      </c>
      <c r="Q30" s="302" t="s">
        <v>93</v>
      </c>
      <c r="R30" s="302" t="s">
        <v>94</v>
      </c>
      <c r="S30" s="305">
        <v>2000</v>
      </c>
      <c r="T30" s="306" t="s">
        <v>100</v>
      </c>
      <c r="U30" s="302"/>
      <c r="V30" s="302" t="s">
        <v>101</v>
      </c>
      <c r="W30" s="302" t="s">
        <v>94</v>
      </c>
      <c r="X30" s="307">
        <v>1225</v>
      </c>
      <c r="Y30" s="306" t="s">
        <v>588</v>
      </c>
      <c r="Z30" s="302" t="s">
        <v>589</v>
      </c>
      <c r="AA30" s="302" t="s">
        <v>590</v>
      </c>
      <c r="AB30" s="287" t="s">
        <v>64</v>
      </c>
      <c r="AC30" s="288" t="s">
        <v>64</v>
      </c>
      <c r="AD30" s="288" t="s">
        <v>64</v>
      </c>
      <c r="AE30" s="288" t="s">
        <v>64</v>
      </c>
      <c r="AF30" s="288" t="s">
        <v>64</v>
      </c>
      <c r="AG30" s="317"/>
      <c r="AH30" s="290" t="s">
        <v>8</v>
      </c>
      <c r="AI30" s="291" t="s">
        <v>9</v>
      </c>
      <c r="AJ30" s="291" t="s">
        <v>10</v>
      </c>
      <c r="AK30" s="292" t="s">
        <v>66</v>
      </c>
      <c r="AL30" s="308"/>
      <c r="AM30" s="294" t="s">
        <v>64</v>
      </c>
      <c r="AN30" s="295"/>
    </row>
    <row r="31" spans="2:40">
      <c r="B31" s="270" t="s">
        <v>623</v>
      </c>
      <c r="C31" s="271" t="s">
        <v>622</v>
      </c>
      <c r="D31" s="272">
        <v>108218355</v>
      </c>
      <c r="E31" s="297" t="s">
        <v>94</v>
      </c>
      <c r="F31" s="298" t="s">
        <v>70</v>
      </c>
      <c r="G31" s="298" t="s">
        <v>53</v>
      </c>
      <c r="H31" s="275" t="s">
        <v>71</v>
      </c>
      <c r="I31" s="276" t="s">
        <v>55</v>
      </c>
      <c r="J31" s="275" t="s">
        <v>56</v>
      </c>
      <c r="K31" s="299">
        <v>14</v>
      </c>
      <c r="L31" s="278">
        <v>5</v>
      </c>
      <c r="M31" s="300">
        <v>5</v>
      </c>
      <c r="N31" s="313" t="s">
        <v>123</v>
      </c>
      <c r="O31" s="306" t="s">
        <v>597</v>
      </c>
      <c r="P31" s="302" t="s">
        <v>92</v>
      </c>
      <c r="Q31" s="302" t="s">
        <v>93</v>
      </c>
      <c r="R31" s="302" t="s">
        <v>94</v>
      </c>
      <c r="S31" s="305">
        <v>2000</v>
      </c>
      <c r="T31" s="306" t="s">
        <v>100</v>
      </c>
      <c r="U31" s="302"/>
      <c r="V31" s="302" t="s">
        <v>101</v>
      </c>
      <c r="W31" s="302" t="s">
        <v>94</v>
      </c>
      <c r="X31" s="307">
        <v>1225</v>
      </c>
      <c r="Y31" s="306" t="s">
        <v>588</v>
      </c>
      <c r="Z31" s="302" t="s">
        <v>589</v>
      </c>
      <c r="AA31" s="302" t="s">
        <v>590</v>
      </c>
      <c r="AB31" s="287" t="s">
        <v>64</v>
      </c>
      <c r="AC31" s="288" t="s">
        <v>64</v>
      </c>
      <c r="AD31" s="288" t="s">
        <v>64</v>
      </c>
      <c r="AE31" s="288" t="s">
        <v>64</v>
      </c>
      <c r="AF31" s="288" t="s">
        <v>64</v>
      </c>
      <c r="AG31" s="317"/>
      <c r="AH31" s="290" t="s">
        <v>8</v>
      </c>
      <c r="AI31" s="291" t="s">
        <v>9</v>
      </c>
      <c r="AJ31" s="291" t="s">
        <v>10</v>
      </c>
      <c r="AK31" s="292" t="s">
        <v>66</v>
      </c>
      <c r="AL31" s="308"/>
      <c r="AM31" s="294" t="s">
        <v>64</v>
      </c>
      <c r="AN31" s="295"/>
    </row>
    <row r="32" spans="2:40">
      <c r="B32" s="270" t="s">
        <v>135</v>
      </c>
      <c r="C32" s="271" t="s">
        <v>135</v>
      </c>
      <c r="D32" s="272">
        <v>76064651056</v>
      </c>
      <c r="E32" s="297" t="s">
        <v>78</v>
      </c>
      <c r="F32" s="298" t="s">
        <v>52</v>
      </c>
      <c r="G32" s="298" t="s">
        <v>53</v>
      </c>
      <c r="H32" s="275" t="s">
        <v>54</v>
      </c>
      <c r="I32" s="276" t="s">
        <v>79</v>
      </c>
      <c r="J32" s="275" t="s">
        <v>80</v>
      </c>
      <c r="K32" s="299">
        <v>5</v>
      </c>
      <c r="L32" s="278">
        <v>5</v>
      </c>
      <c r="M32" s="300">
        <v>2</v>
      </c>
      <c r="N32" s="313" t="s">
        <v>108</v>
      </c>
      <c r="O32" s="306" t="s">
        <v>136</v>
      </c>
      <c r="P32" s="302"/>
      <c r="Q32" s="302" t="s">
        <v>137</v>
      </c>
      <c r="R32" s="302" t="s">
        <v>78</v>
      </c>
      <c r="S32" s="305">
        <v>3000</v>
      </c>
      <c r="T32" s="306" t="s">
        <v>138</v>
      </c>
      <c r="U32" s="302"/>
      <c r="V32" s="302" t="s">
        <v>137</v>
      </c>
      <c r="W32" s="302" t="s">
        <v>114</v>
      </c>
      <c r="X32" s="307">
        <v>8001</v>
      </c>
      <c r="Y32" s="306" t="s">
        <v>115</v>
      </c>
      <c r="Z32" s="302" t="s">
        <v>116</v>
      </c>
      <c r="AA32" s="302" t="s">
        <v>117</v>
      </c>
      <c r="AB32" s="319" t="s">
        <v>65</v>
      </c>
      <c r="AC32" s="320" t="s">
        <v>65</v>
      </c>
      <c r="AD32" s="320" t="s">
        <v>64</v>
      </c>
      <c r="AE32" s="320" t="s">
        <v>64</v>
      </c>
      <c r="AF32" s="320" t="s">
        <v>64</v>
      </c>
      <c r="AG32" s="317"/>
      <c r="AH32" s="290" t="s">
        <v>8</v>
      </c>
      <c r="AI32" s="291" t="s">
        <v>9</v>
      </c>
      <c r="AJ32" s="291" t="s">
        <v>10</v>
      </c>
      <c r="AK32" s="292" t="s">
        <v>66</v>
      </c>
      <c r="AL32" s="308"/>
      <c r="AM32" s="294" t="s">
        <v>65</v>
      </c>
      <c r="AN32" s="295" t="s">
        <v>135</v>
      </c>
    </row>
    <row r="33" spans="2:40">
      <c r="B33" s="270" t="s">
        <v>139</v>
      </c>
      <c r="C33" s="271" t="s">
        <v>139</v>
      </c>
      <c r="D33" s="272">
        <v>16779340889</v>
      </c>
      <c r="E33" s="273" t="s">
        <v>140</v>
      </c>
      <c r="F33" s="274" t="s">
        <v>52</v>
      </c>
      <c r="G33" s="274" t="s">
        <v>89</v>
      </c>
      <c r="H33" s="275" t="s">
        <v>54</v>
      </c>
      <c r="I33" s="276" t="s">
        <v>55</v>
      </c>
      <c r="J33" s="275" t="s">
        <v>56</v>
      </c>
      <c r="K33" s="277">
        <v>9</v>
      </c>
      <c r="L33" s="310">
        <v>5</v>
      </c>
      <c r="M33" s="279">
        <v>5</v>
      </c>
      <c r="N33" s="274" t="s">
        <v>123</v>
      </c>
      <c r="O33" s="285" t="s">
        <v>91</v>
      </c>
      <c r="P33" s="281" t="s">
        <v>92</v>
      </c>
      <c r="Q33" s="281" t="s">
        <v>93</v>
      </c>
      <c r="R33" s="345" t="s">
        <v>94</v>
      </c>
      <c r="S33" s="284">
        <v>2000</v>
      </c>
      <c r="T33" s="285" t="s">
        <v>100</v>
      </c>
      <c r="U33" s="281"/>
      <c r="V33" s="281" t="s">
        <v>101</v>
      </c>
      <c r="W33" s="281" t="s">
        <v>94</v>
      </c>
      <c r="X33" s="284">
        <v>1225</v>
      </c>
      <c r="Y33" s="285" t="s">
        <v>588</v>
      </c>
      <c r="Z33" s="281" t="s">
        <v>589</v>
      </c>
      <c r="AA33" s="281" t="s">
        <v>590</v>
      </c>
      <c r="AB33" s="287" t="s">
        <v>64</v>
      </c>
      <c r="AC33" s="288" t="s">
        <v>64</v>
      </c>
      <c r="AD33" s="288" t="s">
        <v>64</v>
      </c>
      <c r="AE33" s="288" t="s">
        <v>64</v>
      </c>
      <c r="AF33" s="288" t="s">
        <v>64</v>
      </c>
      <c r="AG33" s="289"/>
      <c r="AH33" s="290" t="s">
        <v>8</v>
      </c>
      <c r="AI33" s="291" t="s">
        <v>9</v>
      </c>
      <c r="AJ33" s="291" t="s">
        <v>10</v>
      </c>
      <c r="AK33" s="292" t="s">
        <v>66</v>
      </c>
      <c r="AL33" s="293"/>
      <c r="AM33" s="294" t="s">
        <v>64</v>
      </c>
      <c r="AN33" s="295" t="s">
        <v>139</v>
      </c>
    </row>
    <row r="34" spans="2:40">
      <c r="B34" s="270" t="s">
        <v>141</v>
      </c>
      <c r="C34" s="271" t="s">
        <v>141</v>
      </c>
      <c r="D34" s="272">
        <v>41094482416</v>
      </c>
      <c r="E34" s="297" t="s">
        <v>82</v>
      </c>
      <c r="F34" s="298" t="s">
        <v>52</v>
      </c>
      <c r="G34" s="298" t="s">
        <v>89</v>
      </c>
      <c r="H34" s="275" t="s">
        <v>54</v>
      </c>
      <c r="I34" s="276" t="s">
        <v>55</v>
      </c>
      <c r="J34" s="275" t="s">
        <v>56</v>
      </c>
      <c r="K34" s="299">
        <v>5</v>
      </c>
      <c r="L34" s="327">
        <v>5</v>
      </c>
      <c r="M34" s="300">
        <v>5</v>
      </c>
      <c r="N34" s="298" t="s">
        <v>123</v>
      </c>
      <c r="O34" s="306" t="s">
        <v>142</v>
      </c>
      <c r="P34" s="302" t="s">
        <v>143</v>
      </c>
      <c r="Q34" s="302" t="s">
        <v>81</v>
      </c>
      <c r="R34" s="314" t="s">
        <v>82</v>
      </c>
      <c r="S34" s="305">
        <v>5000</v>
      </c>
      <c r="T34" s="306" t="s">
        <v>144</v>
      </c>
      <c r="U34" s="302" t="s">
        <v>145</v>
      </c>
      <c r="V34" s="302" t="s">
        <v>81</v>
      </c>
      <c r="W34" s="302" t="s">
        <v>82</v>
      </c>
      <c r="X34" s="307">
        <v>5000</v>
      </c>
      <c r="Y34" s="306" t="s">
        <v>146</v>
      </c>
      <c r="Z34" s="302" t="s">
        <v>147</v>
      </c>
      <c r="AA34" s="302" t="s">
        <v>148</v>
      </c>
      <c r="AB34" s="287" t="s">
        <v>64</v>
      </c>
      <c r="AC34" s="288" t="s">
        <v>64</v>
      </c>
      <c r="AD34" s="288" t="s">
        <v>64</v>
      </c>
      <c r="AE34" s="288" t="s">
        <v>64</v>
      </c>
      <c r="AF34" s="288" t="s">
        <v>64</v>
      </c>
      <c r="AG34" s="289"/>
      <c r="AH34" s="290" t="s">
        <v>8</v>
      </c>
      <c r="AI34" s="291" t="s">
        <v>9</v>
      </c>
      <c r="AJ34" s="291" t="s">
        <v>10</v>
      </c>
      <c r="AK34" s="292" t="s">
        <v>66</v>
      </c>
      <c r="AL34" s="308"/>
      <c r="AM34" s="294" t="s">
        <v>64</v>
      </c>
      <c r="AN34" s="295" t="s">
        <v>141</v>
      </c>
    </row>
    <row r="35" spans="2:40">
      <c r="B35" s="270" t="s">
        <v>149</v>
      </c>
      <c r="C35" s="271" t="s">
        <v>149</v>
      </c>
      <c r="D35" s="272">
        <v>11247365823</v>
      </c>
      <c r="E35" s="273" t="s">
        <v>94</v>
      </c>
      <c r="F35" s="274" t="s">
        <v>52</v>
      </c>
      <c r="G35" s="274" t="s">
        <v>53</v>
      </c>
      <c r="H35" s="275" t="s">
        <v>54</v>
      </c>
      <c r="I35" s="276" t="s">
        <v>55</v>
      </c>
      <c r="J35" s="275" t="s">
        <v>56</v>
      </c>
      <c r="K35" s="277">
        <v>5</v>
      </c>
      <c r="L35" s="278">
        <v>5</v>
      </c>
      <c r="M35" s="279">
        <v>5</v>
      </c>
      <c r="N35" s="316" t="s">
        <v>57</v>
      </c>
      <c r="O35" s="285" t="s">
        <v>150</v>
      </c>
      <c r="P35" s="281"/>
      <c r="Q35" s="281" t="s">
        <v>151</v>
      </c>
      <c r="R35" s="311" t="s">
        <v>94</v>
      </c>
      <c r="S35" s="284">
        <v>2148</v>
      </c>
      <c r="T35" s="285" t="s">
        <v>152</v>
      </c>
      <c r="U35" s="281"/>
      <c r="V35" s="281" t="s">
        <v>153</v>
      </c>
      <c r="W35" s="281" t="s">
        <v>94</v>
      </c>
      <c r="X35" s="286">
        <v>1730</v>
      </c>
      <c r="Y35" s="285" t="s">
        <v>154</v>
      </c>
      <c r="Z35" s="324" t="s">
        <v>155</v>
      </c>
      <c r="AA35" s="324" t="s">
        <v>156</v>
      </c>
      <c r="AB35" s="319" t="s">
        <v>64</v>
      </c>
      <c r="AC35" s="320" t="s">
        <v>65</v>
      </c>
      <c r="AD35" s="320" t="s">
        <v>65</v>
      </c>
      <c r="AE35" s="320" t="s">
        <v>65</v>
      </c>
      <c r="AF35" s="320" t="s">
        <v>64</v>
      </c>
      <c r="AG35" s="317"/>
      <c r="AH35" s="290" t="s">
        <v>8</v>
      </c>
      <c r="AI35" s="291" t="s">
        <v>9</v>
      </c>
      <c r="AJ35" s="291" t="s">
        <v>10</v>
      </c>
      <c r="AK35" s="292" t="s">
        <v>66</v>
      </c>
      <c r="AL35" s="293"/>
      <c r="AM35" s="294" t="s">
        <v>65</v>
      </c>
      <c r="AN35" s="295" t="s">
        <v>149</v>
      </c>
    </row>
    <row r="36" spans="2:40">
      <c r="B36" s="270" t="s">
        <v>157</v>
      </c>
      <c r="C36" s="271" t="s">
        <v>157</v>
      </c>
      <c r="D36" s="272">
        <v>40078849055</v>
      </c>
      <c r="E36" s="297" t="s">
        <v>140</v>
      </c>
      <c r="F36" s="298" t="s">
        <v>52</v>
      </c>
      <c r="G36" s="298" t="s">
        <v>53</v>
      </c>
      <c r="H36" s="298" t="s">
        <v>54</v>
      </c>
      <c r="I36" s="299" t="s">
        <v>55</v>
      </c>
      <c r="J36" s="298" t="s">
        <v>56</v>
      </c>
      <c r="K36" s="299">
        <v>5</v>
      </c>
      <c r="L36" s="278">
        <v>5</v>
      </c>
      <c r="M36" s="300">
        <v>5</v>
      </c>
      <c r="N36" s="313" t="s">
        <v>158</v>
      </c>
      <c r="O36" s="306" t="s">
        <v>159</v>
      </c>
      <c r="P36" s="302"/>
      <c r="Q36" s="302" t="s">
        <v>160</v>
      </c>
      <c r="R36" s="302" t="s">
        <v>140</v>
      </c>
      <c r="S36" s="305">
        <v>4006</v>
      </c>
      <c r="T36" s="306" t="s">
        <v>159</v>
      </c>
      <c r="U36" s="302"/>
      <c r="V36" s="302" t="s">
        <v>160</v>
      </c>
      <c r="W36" s="302" t="s">
        <v>161</v>
      </c>
      <c r="X36" s="307">
        <v>4006</v>
      </c>
      <c r="Y36" s="285" t="s">
        <v>167</v>
      </c>
      <c r="Z36" s="281" t="s">
        <v>168</v>
      </c>
      <c r="AA36" s="291" t="s">
        <v>169</v>
      </c>
      <c r="AB36" s="319" t="s">
        <v>65</v>
      </c>
      <c r="AC36" s="320" t="s">
        <v>65</v>
      </c>
      <c r="AD36" s="320" t="s">
        <v>65</v>
      </c>
      <c r="AE36" s="320" t="s">
        <v>64</v>
      </c>
      <c r="AF36" s="320" t="s">
        <v>64</v>
      </c>
      <c r="AG36" s="317"/>
      <c r="AH36" s="290" t="s">
        <v>8</v>
      </c>
      <c r="AI36" s="291" t="s">
        <v>9</v>
      </c>
      <c r="AJ36" s="291" t="s">
        <v>10</v>
      </c>
      <c r="AK36" s="292" t="s">
        <v>66</v>
      </c>
      <c r="AL36" s="308"/>
      <c r="AM36" s="294" t="s">
        <v>65</v>
      </c>
      <c r="AN36" s="295" t="s">
        <v>157</v>
      </c>
    </row>
    <row r="37" spans="2:40">
      <c r="B37" s="270" t="s">
        <v>162</v>
      </c>
      <c r="C37" s="271" t="s">
        <v>162</v>
      </c>
      <c r="D37" s="272">
        <v>50087646062</v>
      </c>
      <c r="E37" s="273" t="s">
        <v>140</v>
      </c>
      <c r="F37" s="274" t="s">
        <v>52</v>
      </c>
      <c r="G37" s="274" t="s">
        <v>53</v>
      </c>
      <c r="H37" s="274" t="s">
        <v>54</v>
      </c>
      <c r="I37" s="277" t="s">
        <v>55</v>
      </c>
      <c r="J37" s="274" t="s">
        <v>56</v>
      </c>
      <c r="K37" s="277">
        <v>5</v>
      </c>
      <c r="L37" s="278">
        <v>5</v>
      </c>
      <c r="M37" s="279">
        <v>5</v>
      </c>
      <c r="N37" s="316" t="s">
        <v>158</v>
      </c>
      <c r="O37" s="285" t="s">
        <v>163</v>
      </c>
      <c r="P37" s="281"/>
      <c r="Q37" s="281" t="s">
        <v>164</v>
      </c>
      <c r="R37" s="281" t="s">
        <v>140</v>
      </c>
      <c r="S37" s="284">
        <v>4810</v>
      </c>
      <c r="T37" s="285" t="s">
        <v>165</v>
      </c>
      <c r="U37" s="281"/>
      <c r="V37" s="281" t="s">
        <v>166</v>
      </c>
      <c r="W37" s="281" t="s">
        <v>161</v>
      </c>
      <c r="X37" s="286">
        <v>4006</v>
      </c>
      <c r="Y37" s="285" t="s">
        <v>167</v>
      </c>
      <c r="Z37" s="281" t="s">
        <v>168</v>
      </c>
      <c r="AA37" s="291" t="s">
        <v>169</v>
      </c>
      <c r="AB37" s="319" t="s">
        <v>64</v>
      </c>
      <c r="AC37" s="320" t="s">
        <v>65</v>
      </c>
      <c r="AD37" s="320" t="s">
        <v>65</v>
      </c>
      <c r="AE37" s="320" t="s">
        <v>65</v>
      </c>
      <c r="AF37" s="320" t="s">
        <v>64</v>
      </c>
      <c r="AG37" s="317"/>
      <c r="AH37" s="290" t="s">
        <v>8</v>
      </c>
      <c r="AI37" s="291" t="s">
        <v>9</v>
      </c>
      <c r="AJ37" s="291" t="s">
        <v>10</v>
      </c>
      <c r="AK37" s="292" t="s">
        <v>66</v>
      </c>
      <c r="AL37" s="293"/>
      <c r="AM37" s="294" t="s">
        <v>65</v>
      </c>
      <c r="AN37" s="295" t="s">
        <v>162</v>
      </c>
    </row>
    <row r="38" spans="2:40">
      <c r="B38" s="270" t="s">
        <v>170</v>
      </c>
      <c r="C38" s="271" t="s">
        <v>170</v>
      </c>
      <c r="D38" s="272">
        <v>37428185226</v>
      </c>
      <c r="E38" s="297" t="s">
        <v>94</v>
      </c>
      <c r="F38" s="298" t="s">
        <v>52</v>
      </c>
      <c r="G38" s="298" t="s">
        <v>53</v>
      </c>
      <c r="H38" s="298" t="s">
        <v>54</v>
      </c>
      <c r="I38" s="299" t="s">
        <v>55</v>
      </c>
      <c r="J38" s="298" t="s">
        <v>56</v>
      </c>
      <c r="K38" s="299">
        <v>5</v>
      </c>
      <c r="L38" s="278">
        <v>5</v>
      </c>
      <c r="M38" s="300">
        <v>5</v>
      </c>
      <c r="N38" s="313" t="s">
        <v>57</v>
      </c>
      <c r="O38" s="306" t="s">
        <v>171</v>
      </c>
      <c r="P38" s="302"/>
      <c r="Q38" s="302" t="s">
        <v>172</v>
      </c>
      <c r="R38" s="314" t="s">
        <v>94</v>
      </c>
      <c r="S38" s="305">
        <v>2444</v>
      </c>
      <c r="T38" s="306" t="s">
        <v>173</v>
      </c>
      <c r="U38" s="302"/>
      <c r="V38" s="302" t="s">
        <v>172</v>
      </c>
      <c r="W38" s="302" t="s">
        <v>94</v>
      </c>
      <c r="X38" s="307">
        <v>2444</v>
      </c>
      <c r="Y38" s="306" t="s">
        <v>174</v>
      </c>
      <c r="Z38" s="302" t="s">
        <v>175</v>
      </c>
      <c r="AA38" s="302" t="s">
        <v>176</v>
      </c>
      <c r="AB38" s="319" t="s">
        <v>64</v>
      </c>
      <c r="AC38" s="320" t="s">
        <v>64</v>
      </c>
      <c r="AD38" s="320" t="s">
        <v>65</v>
      </c>
      <c r="AE38" s="320" t="s">
        <v>65</v>
      </c>
      <c r="AF38" s="320" t="s">
        <v>64</v>
      </c>
      <c r="AG38" s="317"/>
      <c r="AH38" s="290" t="s">
        <v>8</v>
      </c>
      <c r="AI38" s="291" t="s">
        <v>9</v>
      </c>
      <c r="AJ38" s="291" t="s">
        <v>10</v>
      </c>
      <c r="AK38" s="292" t="s">
        <v>66</v>
      </c>
      <c r="AL38" s="308"/>
      <c r="AM38" s="294" t="s">
        <v>65</v>
      </c>
      <c r="AN38" s="295" t="s">
        <v>170</v>
      </c>
    </row>
    <row r="39" spans="2:40">
      <c r="B39" s="270" t="s">
        <v>177</v>
      </c>
      <c r="C39" s="271" t="s">
        <v>177</v>
      </c>
      <c r="D39" s="272">
        <v>82064651083</v>
      </c>
      <c r="E39" s="273" t="s">
        <v>78</v>
      </c>
      <c r="F39" s="274" t="s">
        <v>52</v>
      </c>
      <c r="G39" s="274" t="s">
        <v>53</v>
      </c>
      <c r="H39" s="275" t="s">
        <v>54</v>
      </c>
      <c r="I39" s="276" t="s">
        <v>79</v>
      </c>
      <c r="J39" s="275" t="s">
        <v>80</v>
      </c>
      <c r="K39" s="277">
        <v>5</v>
      </c>
      <c r="L39" s="278">
        <v>5</v>
      </c>
      <c r="M39" s="279">
        <v>2</v>
      </c>
      <c r="N39" s="316" t="s">
        <v>108</v>
      </c>
      <c r="O39" s="285" t="s">
        <v>178</v>
      </c>
      <c r="P39" s="281" t="s">
        <v>179</v>
      </c>
      <c r="Q39" s="281" t="s">
        <v>137</v>
      </c>
      <c r="R39" s="311" t="s">
        <v>114</v>
      </c>
      <c r="S39" s="284">
        <v>3000</v>
      </c>
      <c r="T39" s="285" t="s">
        <v>180</v>
      </c>
      <c r="U39" s="281"/>
      <c r="V39" s="281" t="s">
        <v>137</v>
      </c>
      <c r="W39" s="281" t="s">
        <v>114</v>
      </c>
      <c r="X39" s="286">
        <v>8001</v>
      </c>
      <c r="Y39" s="285" t="s">
        <v>591</v>
      </c>
      <c r="Z39" s="281" t="s">
        <v>592</v>
      </c>
      <c r="AA39" s="281" t="s">
        <v>593</v>
      </c>
      <c r="AB39" s="319" t="s">
        <v>64</v>
      </c>
      <c r="AC39" s="320" t="s">
        <v>65</v>
      </c>
      <c r="AD39" s="320" t="s">
        <v>65</v>
      </c>
      <c r="AE39" s="320" t="s">
        <v>64</v>
      </c>
      <c r="AF39" s="320" t="s">
        <v>64</v>
      </c>
      <c r="AG39" s="317"/>
      <c r="AH39" s="290" t="s">
        <v>8</v>
      </c>
      <c r="AI39" s="291" t="s">
        <v>9</v>
      </c>
      <c r="AJ39" s="291" t="s">
        <v>10</v>
      </c>
      <c r="AK39" s="292" t="s">
        <v>66</v>
      </c>
      <c r="AL39" s="293"/>
      <c r="AM39" s="294" t="s">
        <v>65</v>
      </c>
      <c r="AN39" s="295" t="s">
        <v>177</v>
      </c>
    </row>
    <row r="40" spans="2:40">
      <c r="B40" s="296" t="s">
        <v>181</v>
      </c>
      <c r="C40" s="271" t="s">
        <v>594</v>
      </c>
      <c r="D40" s="272" t="s">
        <v>595</v>
      </c>
      <c r="E40" s="297" t="s">
        <v>94</v>
      </c>
      <c r="F40" s="298" t="s">
        <v>70</v>
      </c>
      <c r="G40" s="298" t="s">
        <v>53</v>
      </c>
      <c r="H40" s="312" t="s">
        <v>71</v>
      </c>
      <c r="I40" s="276" t="s">
        <v>55</v>
      </c>
      <c r="J40" s="275" t="s">
        <v>56</v>
      </c>
      <c r="K40" s="299">
        <v>5</v>
      </c>
      <c r="L40" s="278">
        <v>5</v>
      </c>
      <c r="M40" s="300"/>
      <c r="N40" s="313"/>
      <c r="O40" s="285" t="s">
        <v>178</v>
      </c>
      <c r="P40" s="281" t="s">
        <v>179</v>
      </c>
      <c r="Q40" s="281" t="s">
        <v>137</v>
      </c>
      <c r="R40" s="311" t="s">
        <v>114</v>
      </c>
      <c r="S40" s="284">
        <v>3000</v>
      </c>
      <c r="T40" s="285" t="s">
        <v>180</v>
      </c>
      <c r="U40" s="281"/>
      <c r="V40" s="281" t="s">
        <v>137</v>
      </c>
      <c r="W40" s="281" t="s">
        <v>114</v>
      </c>
      <c r="X40" s="286">
        <v>8001</v>
      </c>
      <c r="Y40" s="306" t="s">
        <v>618</v>
      </c>
      <c r="Z40" s="322"/>
      <c r="AA40" s="322"/>
      <c r="AB40" s="287" t="s">
        <v>64</v>
      </c>
      <c r="AC40" s="288" t="s">
        <v>64</v>
      </c>
      <c r="AD40" s="288" t="s">
        <v>64</v>
      </c>
      <c r="AE40" s="288" t="s">
        <v>64</v>
      </c>
      <c r="AF40" s="288" t="s">
        <v>64</v>
      </c>
      <c r="AG40" s="317"/>
      <c r="AH40" s="290" t="s">
        <v>8</v>
      </c>
      <c r="AI40" s="291" t="s">
        <v>9</v>
      </c>
      <c r="AJ40" s="291" t="s">
        <v>10</v>
      </c>
      <c r="AK40" s="292" t="s">
        <v>66</v>
      </c>
      <c r="AL40" s="308"/>
      <c r="AM40" s="294" t="s">
        <v>64</v>
      </c>
      <c r="AN40" s="309" t="s">
        <v>181</v>
      </c>
    </row>
    <row r="41" spans="2:40">
      <c r="B41" s="296" t="s">
        <v>182</v>
      </c>
      <c r="C41" s="271" t="s">
        <v>183</v>
      </c>
      <c r="D41" s="272" t="s">
        <v>596</v>
      </c>
      <c r="E41" s="273" t="s">
        <v>78</v>
      </c>
      <c r="F41" s="274" t="s">
        <v>70</v>
      </c>
      <c r="G41" s="274" t="s">
        <v>53</v>
      </c>
      <c r="H41" s="315" t="s">
        <v>71</v>
      </c>
      <c r="I41" s="276" t="s">
        <v>79</v>
      </c>
      <c r="J41" s="275" t="s">
        <v>80</v>
      </c>
      <c r="K41" s="277">
        <v>5</v>
      </c>
      <c r="L41" s="278">
        <v>5</v>
      </c>
      <c r="M41" s="279" t="s">
        <v>72</v>
      </c>
      <c r="N41" s="316"/>
      <c r="O41" s="285" t="s">
        <v>624</v>
      </c>
      <c r="P41" s="281"/>
      <c r="Q41" s="281" t="s">
        <v>625</v>
      </c>
      <c r="R41" s="281" t="s">
        <v>78</v>
      </c>
      <c r="S41" s="284">
        <v>3149</v>
      </c>
      <c r="T41" s="285"/>
      <c r="U41" s="281"/>
      <c r="V41" s="281"/>
      <c r="W41" s="281"/>
      <c r="X41" s="284"/>
      <c r="Y41" s="285" t="s">
        <v>626</v>
      </c>
      <c r="Z41" s="324" t="s">
        <v>627</v>
      </c>
      <c r="AA41" s="324" t="s">
        <v>628</v>
      </c>
      <c r="AB41" s="287" t="s">
        <v>64</v>
      </c>
      <c r="AC41" s="288" t="s">
        <v>64</v>
      </c>
      <c r="AD41" s="288" t="s">
        <v>64</v>
      </c>
      <c r="AE41" s="288" t="s">
        <v>64</v>
      </c>
      <c r="AF41" s="288" t="s">
        <v>64</v>
      </c>
      <c r="AG41" s="289"/>
      <c r="AH41" s="290" t="s">
        <v>8</v>
      </c>
      <c r="AI41" s="291" t="s">
        <v>9</v>
      </c>
      <c r="AJ41" s="291" t="s">
        <v>10</v>
      </c>
      <c r="AK41" s="292" t="s">
        <v>66</v>
      </c>
      <c r="AL41" s="293"/>
      <c r="AM41" s="294" t="s">
        <v>64</v>
      </c>
      <c r="AN41" s="309" t="s">
        <v>182</v>
      </c>
    </row>
    <row r="42" spans="2:40">
      <c r="B42" s="270" t="s">
        <v>184</v>
      </c>
      <c r="C42" s="271" t="s">
        <v>184</v>
      </c>
      <c r="D42" s="272">
        <v>79181207909</v>
      </c>
      <c r="E42" s="297" t="s">
        <v>82</v>
      </c>
      <c r="F42" s="298" t="s">
        <v>52</v>
      </c>
      <c r="G42" s="298" t="s">
        <v>89</v>
      </c>
      <c r="H42" s="275" t="s">
        <v>54</v>
      </c>
      <c r="I42" s="276" t="s">
        <v>55</v>
      </c>
      <c r="J42" s="275" t="s">
        <v>56</v>
      </c>
      <c r="K42" s="299">
        <v>5</v>
      </c>
      <c r="L42" s="327">
        <v>5</v>
      </c>
      <c r="M42" s="300">
        <v>5</v>
      </c>
      <c r="N42" s="298" t="s">
        <v>123</v>
      </c>
      <c r="O42" s="306" t="s">
        <v>597</v>
      </c>
      <c r="P42" s="302" t="s">
        <v>92</v>
      </c>
      <c r="Q42" s="302" t="s">
        <v>93</v>
      </c>
      <c r="R42" s="346" t="s">
        <v>94</v>
      </c>
      <c r="S42" s="305">
        <v>2000</v>
      </c>
      <c r="T42" s="306" t="s">
        <v>100</v>
      </c>
      <c r="U42" s="302"/>
      <c r="V42" s="302" t="s">
        <v>101</v>
      </c>
      <c r="W42" s="302" t="s">
        <v>94</v>
      </c>
      <c r="X42" s="305">
        <v>1225</v>
      </c>
      <c r="Y42" s="306" t="s">
        <v>588</v>
      </c>
      <c r="Z42" s="302" t="s">
        <v>589</v>
      </c>
      <c r="AA42" s="302" t="s">
        <v>590</v>
      </c>
      <c r="AB42" s="287" t="s">
        <v>64</v>
      </c>
      <c r="AC42" s="288" t="s">
        <v>64</v>
      </c>
      <c r="AD42" s="288" t="s">
        <v>64</v>
      </c>
      <c r="AE42" s="288" t="s">
        <v>64</v>
      </c>
      <c r="AF42" s="288" t="s">
        <v>64</v>
      </c>
      <c r="AG42" s="289"/>
      <c r="AH42" s="290" t="s">
        <v>8</v>
      </c>
      <c r="AI42" s="291" t="s">
        <v>9</v>
      </c>
      <c r="AJ42" s="291" t="s">
        <v>10</v>
      </c>
      <c r="AK42" s="292" t="s">
        <v>66</v>
      </c>
      <c r="AL42" s="308"/>
      <c r="AM42" s="294" t="s">
        <v>64</v>
      </c>
      <c r="AN42" s="295" t="s">
        <v>184</v>
      </c>
    </row>
    <row r="43" spans="2:40">
      <c r="B43" s="270" t="s">
        <v>185</v>
      </c>
      <c r="C43" s="271" t="s">
        <v>186</v>
      </c>
      <c r="D43" s="272">
        <v>15947352360</v>
      </c>
      <c r="E43" s="297" t="s">
        <v>88</v>
      </c>
      <c r="F43" s="274" t="s">
        <v>52</v>
      </c>
      <c r="G43" s="274" t="s">
        <v>53</v>
      </c>
      <c r="H43" s="275" t="s">
        <v>54</v>
      </c>
      <c r="I43" s="276" t="s">
        <v>55</v>
      </c>
      <c r="J43" s="275" t="s">
        <v>56</v>
      </c>
      <c r="K43" s="277">
        <v>5</v>
      </c>
      <c r="L43" s="310">
        <v>5</v>
      </c>
      <c r="M43" s="279" t="s">
        <v>72</v>
      </c>
      <c r="N43" s="274" t="s">
        <v>68</v>
      </c>
      <c r="O43" s="285" t="s">
        <v>187</v>
      </c>
      <c r="P43" s="281"/>
      <c r="Q43" s="281" t="s">
        <v>188</v>
      </c>
      <c r="R43" s="311" t="s">
        <v>88</v>
      </c>
      <c r="S43" s="284">
        <v>801</v>
      </c>
      <c r="T43" s="285" t="s">
        <v>187</v>
      </c>
      <c r="U43" s="281"/>
      <c r="V43" s="281" t="s">
        <v>188</v>
      </c>
      <c r="W43" s="311" t="s">
        <v>88</v>
      </c>
      <c r="X43" s="284">
        <v>801</v>
      </c>
      <c r="Y43" s="285" t="s">
        <v>598</v>
      </c>
      <c r="Z43" s="324" t="s">
        <v>599</v>
      </c>
      <c r="AA43" s="281" t="s">
        <v>600</v>
      </c>
      <c r="AB43" s="319" t="s">
        <v>65</v>
      </c>
      <c r="AC43" s="320" t="s">
        <v>65</v>
      </c>
      <c r="AD43" s="320" t="s">
        <v>65</v>
      </c>
      <c r="AE43" s="320" t="s">
        <v>65</v>
      </c>
      <c r="AF43" s="320" t="s">
        <v>64</v>
      </c>
      <c r="AG43" s="289"/>
      <c r="AH43" s="290" t="s">
        <v>8</v>
      </c>
      <c r="AI43" s="291" t="s">
        <v>9</v>
      </c>
      <c r="AJ43" s="291" t="s">
        <v>10</v>
      </c>
      <c r="AK43" s="292" t="s">
        <v>66</v>
      </c>
      <c r="AL43" s="293"/>
      <c r="AM43" s="294" t="s">
        <v>64</v>
      </c>
      <c r="AN43" s="270" t="s">
        <v>185</v>
      </c>
    </row>
    <row r="44" spans="2:40">
      <c r="B44" s="270" t="s">
        <v>189</v>
      </c>
      <c r="C44" s="271" t="s">
        <v>189</v>
      </c>
      <c r="D44" s="272">
        <v>89064651109</v>
      </c>
      <c r="E44" s="297" t="s">
        <v>78</v>
      </c>
      <c r="F44" s="298" t="s">
        <v>52</v>
      </c>
      <c r="G44" s="298" t="s">
        <v>53</v>
      </c>
      <c r="H44" s="275" t="s">
        <v>54</v>
      </c>
      <c r="I44" s="276" t="s">
        <v>79</v>
      </c>
      <c r="J44" s="275" t="s">
        <v>80</v>
      </c>
      <c r="K44" s="299">
        <v>5</v>
      </c>
      <c r="L44" s="278">
        <v>5</v>
      </c>
      <c r="M44" s="300">
        <v>2</v>
      </c>
      <c r="N44" s="313" t="s">
        <v>108</v>
      </c>
      <c r="O44" s="306" t="s">
        <v>136</v>
      </c>
      <c r="P44" s="302"/>
      <c r="Q44" s="302" t="s">
        <v>137</v>
      </c>
      <c r="R44" s="314" t="s">
        <v>78</v>
      </c>
      <c r="S44" s="305">
        <v>3000</v>
      </c>
      <c r="T44" s="306" t="s">
        <v>190</v>
      </c>
      <c r="U44" s="302"/>
      <c r="V44" s="302" t="s">
        <v>137</v>
      </c>
      <c r="W44" s="302" t="s">
        <v>114</v>
      </c>
      <c r="X44" s="305">
        <v>8001</v>
      </c>
      <c r="Y44" s="306" t="s">
        <v>115</v>
      </c>
      <c r="Z44" s="302" t="s">
        <v>116</v>
      </c>
      <c r="AA44" s="302" t="s">
        <v>117</v>
      </c>
      <c r="AB44" s="287" t="s">
        <v>64</v>
      </c>
      <c r="AC44" s="288" t="s">
        <v>64</v>
      </c>
      <c r="AD44" s="320" t="s">
        <v>65</v>
      </c>
      <c r="AE44" s="320" t="s">
        <v>65</v>
      </c>
      <c r="AF44" s="320" t="s">
        <v>64</v>
      </c>
      <c r="AG44" s="317"/>
      <c r="AH44" s="290" t="s">
        <v>8</v>
      </c>
      <c r="AI44" s="291" t="s">
        <v>9</v>
      </c>
      <c r="AJ44" s="291" t="s">
        <v>10</v>
      </c>
      <c r="AK44" s="292" t="s">
        <v>66</v>
      </c>
      <c r="AL44" s="308"/>
      <c r="AM44" s="294" t="s">
        <v>65</v>
      </c>
      <c r="AN44" s="295" t="s">
        <v>189</v>
      </c>
    </row>
    <row r="45" spans="2:40" ht="28.5">
      <c r="B45" s="270" t="s">
        <v>191</v>
      </c>
      <c r="C45" s="347" t="s">
        <v>192</v>
      </c>
      <c r="D45" s="272">
        <v>82078849233</v>
      </c>
      <c r="E45" s="273" t="s">
        <v>140</v>
      </c>
      <c r="F45" s="274" t="s">
        <v>52</v>
      </c>
      <c r="G45" s="274" t="s">
        <v>89</v>
      </c>
      <c r="H45" s="275" t="s">
        <v>54</v>
      </c>
      <c r="I45" s="276" t="s">
        <v>55</v>
      </c>
      <c r="J45" s="275" t="s">
        <v>56</v>
      </c>
      <c r="K45" s="277">
        <v>5</v>
      </c>
      <c r="L45" s="310">
        <v>5</v>
      </c>
      <c r="M45" s="279">
        <v>5</v>
      </c>
      <c r="N45" s="274" t="s">
        <v>123</v>
      </c>
      <c r="O45" s="285" t="s">
        <v>193</v>
      </c>
      <c r="P45" s="281"/>
      <c r="Q45" s="281" t="s">
        <v>194</v>
      </c>
      <c r="R45" s="281" t="s">
        <v>140</v>
      </c>
      <c r="S45" s="284">
        <v>4014</v>
      </c>
      <c r="T45" s="285" t="s">
        <v>195</v>
      </c>
      <c r="U45" s="281"/>
      <c r="V45" s="281" t="s">
        <v>194</v>
      </c>
      <c r="W45" s="281" t="s">
        <v>161</v>
      </c>
      <c r="X45" s="284">
        <v>4014</v>
      </c>
      <c r="Y45" s="285" t="s">
        <v>196</v>
      </c>
      <c r="Z45" s="281" t="s">
        <v>197</v>
      </c>
      <c r="AA45" s="281" t="s">
        <v>198</v>
      </c>
      <c r="AB45" s="287" t="s">
        <v>64</v>
      </c>
      <c r="AC45" s="288" t="s">
        <v>64</v>
      </c>
      <c r="AD45" s="288" t="s">
        <v>64</v>
      </c>
      <c r="AE45" s="288" t="s">
        <v>64</v>
      </c>
      <c r="AF45" s="288" t="s">
        <v>64</v>
      </c>
      <c r="AG45" s="289"/>
      <c r="AH45" s="290" t="s">
        <v>8</v>
      </c>
      <c r="AI45" s="291" t="s">
        <v>9</v>
      </c>
      <c r="AJ45" s="291" t="s">
        <v>10</v>
      </c>
      <c r="AK45" s="292" t="s">
        <v>66</v>
      </c>
      <c r="AL45" s="293"/>
      <c r="AM45" s="294" t="s">
        <v>64</v>
      </c>
      <c r="AN45" s="295" t="s">
        <v>191</v>
      </c>
    </row>
    <row r="46" spans="2:40">
      <c r="B46" s="296" t="s">
        <v>199</v>
      </c>
      <c r="C46" s="271" t="s">
        <v>200</v>
      </c>
      <c r="D46" s="272" t="s">
        <v>201</v>
      </c>
      <c r="E46" s="297" t="s">
        <v>140</v>
      </c>
      <c r="F46" s="298" t="s">
        <v>70</v>
      </c>
      <c r="G46" s="298" t="s">
        <v>89</v>
      </c>
      <c r="H46" s="312" t="s">
        <v>71</v>
      </c>
      <c r="I46" s="276" t="s">
        <v>55</v>
      </c>
      <c r="J46" s="275" t="s">
        <v>56</v>
      </c>
      <c r="K46" s="299">
        <v>5</v>
      </c>
      <c r="L46" s="278">
        <v>5</v>
      </c>
      <c r="M46" s="300" t="s">
        <v>72</v>
      </c>
      <c r="N46" s="313" t="s">
        <v>90</v>
      </c>
      <c r="O46" s="306" t="s">
        <v>92</v>
      </c>
      <c r="P46" s="302"/>
      <c r="Q46" s="302" t="s">
        <v>93</v>
      </c>
      <c r="R46" s="302" t="s">
        <v>94</v>
      </c>
      <c r="S46" s="348">
        <v>2000</v>
      </c>
      <c r="T46" s="306" t="s">
        <v>100</v>
      </c>
      <c r="U46" s="302"/>
      <c r="V46" s="302" t="s">
        <v>101</v>
      </c>
      <c r="W46" s="302" t="s">
        <v>94</v>
      </c>
      <c r="X46" s="305">
        <v>1225</v>
      </c>
      <c r="Y46" s="306" t="s">
        <v>601</v>
      </c>
      <c r="Z46" s="302" t="s">
        <v>602</v>
      </c>
      <c r="AA46" s="302" t="s">
        <v>603</v>
      </c>
      <c r="AB46" s="287" t="s">
        <v>64</v>
      </c>
      <c r="AC46" s="288" t="s">
        <v>64</v>
      </c>
      <c r="AD46" s="288" t="s">
        <v>64</v>
      </c>
      <c r="AE46" s="288" t="s">
        <v>64</v>
      </c>
      <c r="AF46" s="288" t="s">
        <v>64</v>
      </c>
      <c r="AG46" s="289"/>
      <c r="AH46" s="290" t="s">
        <v>8</v>
      </c>
      <c r="AI46" s="291" t="s">
        <v>9</v>
      </c>
      <c r="AJ46" s="291" t="s">
        <v>10</v>
      </c>
      <c r="AK46" s="292" t="s">
        <v>66</v>
      </c>
      <c r="AL46" s="308"/>
      <c r="AM46" s="294" t="s">
        <v>64</v>
      </c>
      <c r="AN46" s="309" t="s">
        <v>199</v>
      </c>
    </row>
    <row r="47" spans="2:40">
      <c r="B47" s="270" t="s">
        <v>202</v>
      </c>
      <c r="C47" s="271" t="s">
        <v>202</v>
      </c>
      <c r="D47" s="272">
        <v>13332330749</v>
      </c>
      <c r="E47" s="273" t="s">
        <v>82</v>
      </c>
      <c r="F47" s="274" t="s">
        <v>52</v>
      </c>
      <c r="G47" s="274" t="s">
        <v>53</v>
      </c>
      <c r="H47" s="275" t="s">
        <v>54</v>
      </c>
      <c r="I47" s="276" t="s">
        <v>55</v>
      </c>
      <c r="J47" s="275" t="s">
        <v>56</v>
      </c>
      <c r="K47" s="277">
        <v>5</v>
      </c>
      <c r="L47" s="278">
        <v>5</v>
      </c>
      <c r="M47" s="279">
        <v>5</v>
      </c>
      <c r="N47" s="316" t="s">
        <v>158</v>
      </c>
      <c r="O47" s="285" t="s">
        <v>203</v>
      </c>
      <c r="P47" s="281"/>
      <c r="Q47" s="281" t="s">
        <v>204</v>
      </c>
      <c r="R47" s="281" t="s">
        <v>82</v>
      </c>
      <c r="S47" s="349">
        <v>5035</v>
      </c>
      <c r="T47" s="285" t="s">
        <v>205</v>
      </c>
      <c r="U47" s="281"/>
      <c r="V47" s="281" t="s">
        <v>81</v>
      </c>
      <c r="W47" s="281" t="s">
        <v>82</v>
      </c>
      <c r="X47" s="284">
        <v>5000</v>
      </c>
      <c r="Y47" s="285" t="s">
        <v>604</v>
      </c>
      <c r="Z47" s="281" t="s">
        <v>605</v>
      </c>
      <c r="AA47" s="281" t="s">
        <v>606</v>
      </c>
      <c r="AB47" s="319" t="s">
        <v>64</v>
      </c>
      <c r="AC47" s="320" t="s">
        <v>64</v>
      </c>
      <c r="AD47" s="320" t="s">
        <v>65</v>
      </c>
      <c r="AE47" s="320" t="s">
        <v>65</v>
      </c>
      <c r="AF47" s="320" t="s">
        <v>64</v>
      </c>
      <c r="AG47" s="317"/>
      <c r="AH47" s="290" t="s">
        <v>8</v>
      </c>
      <c r="AI47" s="291" t="s">
        <v>9</v>
      </c>
      <c r="AJ47" s="291" t="s">
        <v>10</v>
      </c>
      <c r="AK47" s="292" t="s">
        <v>66</v>
      </c>
      <c r="AL47" s="293"/>
      <c r="AM47" s="294" t="s">
        <v>64</v>
      </c>
      <c r="AN47" s="295" t="s">
        <v>202</v>
      </c>
    </row>
    <row r="48" spans="2:40">
      <c r="B48" s="270" t="s">
        <v>5</v>
      </c>
      <c r="C48" s="270" t="s">
        <v>5</v>
      </c>
      <c r="D48" s="272">
        <v>24167357299</v>
      </c>
      <c r="E48" s="297" t="s">
        <v>206</v>
      </c>
      <c r="F48" s="298" t="s">
        <v>52</v>
      </c>
      <c r="G48" s="298" t="s">
        <v>53</v>
      </c>
      <c r="H48" s="275" t="s">
        <v>54</v>
      </c>
      <c r="I48" s="276" t="s">
        <v>55</v>
      </c>
      <c r="J48" s="275" t="s">
        <v>56</v>
      </c>
      <c r="K48" s="299">
        <v>5</v>
      </c>
      <c r="L48" s="278">
        <v>5</v>
      </c>
      <c r="M48" s="300">
        <v>5</v>
      </c>
      <c r="N48" s="298" t="s">
        <v>68</v>
      </c>
      <c r="O48" s="306" t="s">
        <v>212</v>
      </c>
      <c r="P48" s="302"/>
      <c r="Q48" s="302" t="s">
        <v>213</v>
      </c>
      <c r="R48" s="314" t="s">
        <v>206</v>
      </c>
      <c r="S48" s="348">
        <v>7008</v>
      </c>
      <c r="T48" s="306" t="s">
        <v>214</v>
      </c>
      <c r="U48" s="302"/>
      <c r="V48" s="302" t="s">
        <v>215</v>
      </c>
      <c r="W48" s="302" t="s">
        <v>206</v>
      </c>
      <c r="X48" s="305">
        <v>7009</v>
      </c>
      <c r="Y48" s="306" t="s">
        <v>607</v>
      </c>
      <c r="Z48" s="302" t="s">
        <v>608</v>
      </c>
      <c r="AA48" s="302" t="s">
        <v>609</v>
      </c>
      <c r="AB48" s="319" t="s">
        <v>65</v>
      </c>
      <c r="AC48" s="320" t="s">
        <v>65</v>
      </c>
      <c r="AD48" s="320" t="s">
        <v>65</v>
      </c>
      <c r="AE48" s="320" t="s">
        <v>65</v>
      </c>
      <c r="AF48" s="320" t="s">
        <v>65</v>
      </c>
      <c r="AG48" s="317"/>
      <c r="AH48" s="350" t="s">
        <v>207</v>
      </c>
      <c r="AI48" s="351" t="s">
        <v>208</v>
      </c>
      <c r="AJ48" s="351" t="s">
        <v>9</v>
      </c>
      <c r="AK48" s="351" t="s">
        <v>209</v>
      </c>
      <c r="AL48" s="352" t="s">
        <v>210</v>
      </c>
      <c r="AM48" s="294" t="s">
        <v>65</v>
      </c>
      <c r="AN48" s="295" t="s">
        <v>5</v>
      </c>
    </row>
    <row r="49" spans="2:40">
      <c r="B49" s="270" t="s">
        <v>211</v>
      </c>
      <c r="C49" s="271" t="s">
        <v>211</v>
      </c>
      <c r="D49" s="272">
        <v>24167357299</v>
      </c>
      <c r="E49" s="273" t="s">
        <v>206</v>
      </c>
      <c r="F49" s="274" t="s">
        <v>52</v>
      </c>
      <c r="G49" s="274" t="s">
        <v>89</v>
      </c>
      <c r="H49" s="275" t="s">
        <v>54</v>
      </c>
      <c r="I49" s="276" t="s">
        <v>55</v>
      </c>
      <c r="J49" s="275" t="s">
        <v>56</v>
      </c>
      <c r="K49" s="277">
        <v>5</v>
      </c>
      <c r="L49" s="310">
        <v>5</v>
      </c>
      <c r="M49" s="279">
        <v>5</v>
      </c>
      <c r="N49" s="274" t="s">
        <v>123</v>
      </c>
      <c r="O49" s="285" t="s">
        <v>212</v>
      </c>
      <c r="P49" s="281"/>
      <c r="Q49" s="281" t="s">
        <v>213</v>
      </c>
      <c r="R49" s="311" t="s">
        <v>206</v>
      </c>
      <c r="S49" s="349">
        <v>7008</v>
      </c>
      <c r="T49" s="285" t="s">
        <v>214</v>
      </c>
      <c r="U49" s="281"/>
      <c r="V49" s="281" t="s">
        <v>215</v>
      </c>
      <c r="W49" s="281" t="s">
        <v>206</v>
      </c>
      <c r="X49" s="284">
        <v>7009</v>
      </c>
      <c r="Y49" s="285" t="s">
        <v>607</v>
      </c>
      <c r="Z49" s="281" t="s">
        <v>608</v>
      </c>
      <c r="AA49" s="281" t="s">
        <v>609</v>
      </c>
      <c r="AB49" s="287" t="s">
        <v>64</v>
      </c>
      <c r="AC49" s="288" t="s">
        <v>64</v>
      </c>
      <c r="AD49" s="288" t="s">
        <v>64</v>
      </c>
      <c r="AE49" s="288" t="s">
        <v>64</v>
      </c>
      <c r="AF49" s="288" t="s">
        <v>64</v>
      </c>
      <c r="AG49" s="289"/>
      <c r="AH49" s="290" t="s">
        <v>8</v>
      </c>
      <c r="AI49" s="291" t="s">
        <v>9</v>
      </c>
      <c r="AJ49" s="291" t="s">
        <v>10</v>
      </c>
      <c r="AK49" s="292" t="s">
        <v>66</v>
      </c>
      <c r="AL49" s="293"/>
      <c r="AM49" s="294" t="s">
        <v>64</v>
      </c>
      <c r="AN49" s="295" t="s">
        <v>211</v>
      </c>
    </row>
    <row r="50" spans="2:40">
      <c r="B50" s="270" t="s">
        <v>216</v>
      </c>
      <c r="C50" s="271" t="s">
        <v>217</v>
      </c>
      <c r="D50" s="272" t="s">
        <v>629</v>
      </c>
      <c r="E50" s="297" t="s">
        <v>94</v>
      </c>
      <c r="F50" s="298" t="s">
        <v>52</v>
      </c>
      <c r="G50" s="298" t="s">
        <v>89</v>
      </c>
      <c r="H50" s="275" t="s">
        <v>54</v>
      </c>
      <c r="I50" s="276" t="s">
        <v>55</v>
      </c>
      <c r="J50" s="275" t="s">
        <v>56</v>
      </c>
      <c r="K50" s="299">
        <v>4</v>
      </c>
      <c r="L50" s="327">
        <v>5</v>
      </c>
      <c r="M50" s="300">
        <v>5</v>
      </c>
      <c r="N50" s="298" t="s">
        <v>123</v>
      </c>
      <c r="O50" s="306" t="s">
        <v>218</v>
      </c>
      <c r="P50" s="302"/>
      <c r="Q50" s="302" t="s">
        <v>93</v>
      </c>
      <c r="R50" s="314" t="s">
        <v>94</v>
      </c>
      <c r="S50" s="305">
        <v>2000</v>
      </c>
      <c r="T50" s="306" t="s">
        <v>219</v>
      </c>
      <c r="U50" s="302"/>
      <c r="V50" s="302" t="s">
        <v>220</v>
      </c>
      <c r="W50" s="302" t="s">
        <v>94</v>
      </c>
      <c r="X50" s="305">
        <v>1235</v>
      </c>
      <c r="Y50" s="306" t="s">
        <v>221</v>
      </c>
      <c r="Z50" s="322" t="s">
        <v>222</v>
      </c>
      <c r="AA50" s="322" t="s">
        <v>223</v>
      </c>
      <c r="AB50" s="287" t="s">
        <v>64</v>
      </c>
      <c r="AC50" s="288" t="s">
        <v>64</v>
      </c>
      <c r="AD50" s="288" t="s">
        <v>64</v>
      </c>
      <c r="AE50" s="288" t="s">
        <v>64</v>
      </c>
      <c r="AF50" s="288" t="s">
        <v>64</v>
      </c>
      <c r="AG50" s="289"/>
      <c r="AH50" s="353" t="s">
        <v>8</v>
      </c>
      <c r="AI50" s="354" t="s">
        <v>9</v>
      </c>
      <c r="AJ50" s="354" t="s">
        <v>10</v>
      </c>
      <c r="AK50" s="355" t="s">
        <v>66</v>
      </c>
      <c r="AL50" s="308"/>
      <c r="AM50" s="294" t="s">
        <v>64</v>
      </c>
      <c r="AN50" s="295" t="s">
        <v>216</v>
      </c>
    </row>
    <row r="51" spans="2:40" ht="15.75" thickBot="1">
      <c r="B51" s="356" t="s">
        <v>224</v>
      </c>
      <c r="C51" s="357" t="s">
        <v>224</v>
      </c>
      <c r="D51" s="358">
        <v>70064651029</v>
      </c>
      <c r="E51" s="359" t="s">
        <v>78</v>
      </c>
      <c r="F51" s="360" t="s">
        <v>52</v>
      </c>
      <c r="G51" s="360" t="s">
        <v>53</v>
      </c>
      <c r="H51" s="361" t="s">
        <v>54</v>
      </c>
      <c r="I51" s="362" t="s">
        <v>79</v>
      </c>
      <c r="J51" s="361" t="s">
        <v>80</v>
      </c>
      <c r="K51" s="363">
        <v>5</v>
      </c>
      <c r="L51" s="364">
        <v>5</v>
      </c>
      <c r="M51" s="365">
        <v>2</v>
      </c>
      <c r="N51" s="366" t="s">
        <v>108</v>
      </c>
      <c r="O51" s="367" t="s">
        <v>225</v>
      </c>
      <c r="P51" s="368" t="s">
        <v>226</v>
      </c>
      <c r="Q51" s="368" t="s">
        <v>227</v>
      </c>
      <c r="R51" s="368" t="s">
        <v>78</v>
      </c>
      <c r="S51" s="369">
        <v>3149</v>
      </c>
      <c r="T51" s="367" t="s">
        <v>228</v>
      </c>
      <c r="U51" s="368"/>
      <c r="V51" s="368" t="s">
        <v>229</v>
      </c>
      <c r="W51" s="368" t="s">
        <v>114</v>
      </c>
      <c r="X51" s="369">
        <v>3170</v>
      </c>
      <c r="Y51" s="367" t="s">
        <v>230</v>
      </c>
      <c r="Z51" s="368" t="s">
        <v>231</v>
      </c>
      <c r="AA51" s="368" t="s">
        <v>232</v>
      </c>
      <c r="AB51" s="370" t="s">
        <v>64</v>
      </c>
      <c r="AC51" s="371" t="s">
        <v>64</v>
      </c>
      <c r="AD51" s="371" t="s">
        <v>65</v>
      </c>
      <c r="AE51" s="371" t="s">
        <v>64</v>
      </c>
      <c r="AF51" s="371" t="s">
        <v>64</v>
      </c>
      <c r="AG51" s="372"/>
      <c r="AH51" s="373" t="s">
        <v>8</v>
      </c>
      <c r="AI51" s="374" t="s">
        <v>9</v>
      </c>
      <c r="AJ51" s="374" t="s">
        <v>10</v>
      </c>
      <c r="AK51" s="375" t="s">
        <v>66</v>
      </c>
      <c r="AL51" s="376"/>
      <c r="AM51" s="377" t="s">
        <v>65</v>
      </c>
      <c r="AN51" s="378" t="s">
        <v>224</v>
      </c>
    </row>
    <row r="52" spans="2:40">
      <c r="C52" s="7"/>
      <c r="X52" s="2"/>
      <c r="AB52" s="1"/>
    </row>
    <row r="53" spans="2:40" ht="15.75" thickBot="1">
      <c r="C53" s="7"/>
      <c r="X53" s="2"/>
      <c r="AB53" s="1"/>
      <c r="AD53" s="199"/>
    </row>
    <row r="54" spans="2:40" thickBot="1">
      <c r="X54" s="2"/>
      <c r="Y54" s="2"/>
      <c r="Z54" s="788" t="s">
        <v>233</v>
      </c>
      <c r="AA54" s="789"/>
      <c r="AB54" s="789"/>
      <c r="AC54" s="789"/>
      <c r="AD54" s="790"/>
      <c r="AE54" s="791" t="s">
        <v>610</v>
      </c>
      <c r="AF54" s="792"/>
      <c r="AG54" s="792"/>
      <c r="AH54" s="793"/>
    </row>
    <row r="55" spans="2:40" ht="53.25" customHeight="1" thickBot="1">
      <c r="B55" s="766" t="s">
        <v>234</v>
      </c>
      <c r="C55" s="767"/>
      <c r="D55" s="767"/>
      <c r="E55" s="767"/>
      <c r="F55" s="768"/>
      <c r="G55" s="10"/>
      <c r="H55" s="11"/>
      <c r="N55" s="12" t="s">
        <v>235</v>
      </c>
      <c r="O55" s="769" t="s">
        <v>236</v>
      </c>
      <c r="P55" s="769"/>
      <c r="Q55" s="769"/>
      <c r="R55" s="769"/>
      <c r="S55" s="769"/>
      <c r="T55" s="769"/>
      <c r="U55" s="769"/>
      <c r="V55" s="769"/>
      <c r="W55" s="198"/>
      <c r="X55" s="198"/>
      <c r="Y55" s="198"/>
      <c r="Z55" s="770" t="s">
        <v>237</v>
      </c>
      <c r="AA55" s="771"/>
      <c r="AB55" s="771"/>
      <c r="AC55" s="771"/>
      <c r="AD55" s="772"/>
      <c r="AE55" s="773" t="s">
        <v>611</v>
      </c>
      <c r="AF55" s="774"/>
      <c r="AG55" s="774"/>
      <c r="AH55" s="775"/>
    </row>
    <row r="56" spans="2:40" s="2" customFormat="1" ht="42" customHeight="1" thickBot="1">
      <c r="B56" s="379" t="s">
        <v>241</v>
      </c>
      <c r="C56" s="380" t="s">
        <v>630</v>
      </c>
      <c r="D56" s="381"/>
      <c r="E56" s="382" t="s">
        <v>242</v>
      </c>
      <c r="F56" s="382"/>
      <c r="G56" s="383"/>
      <c r="H56" s="384"/>
      <c r="I56"/>
      <c r="J56" s="16"/>
      <c r="K56" s="16"/>
      <c r="L56" s="17"/>
      <c r="N56" s="385" t="s">
        <v>243</v>
      </c>
      <c r="O56" s="18" t="s">
        <v>244</v>
      </c>
      <c r="P56" s="19" t="s">
        <v>245</v>
      </c>
      <c r="Q56" s="19" t="s">
        <v>246</v>
      </c>
      <c r="R56" s="19" t="s">
        <v>247</v>
      </c>
      <c r="S56" s="19" t="s">
        <v>248</v>
      </c>
      <c r="T56" s="19" t="s">
        <v>249</v>
      </c>
      <c r="U56" s="19" t="s">
        <v>631</v>
      </c>
      <c r="V56" s="19" t="s">
        <v>632</v>
      </c>
      <c r="W56" s="19" t="s">
        <v>633</v>
      </c>
      <c r="X56" s="19" t="s">
        <v>250</v>
      </c>
      <c r="Y56" s="20" t="s">
        <v>251</v>
      </c>
      <c r="Z56" s="386" t="s">
        <v>252</v>
      </c>
      <c r="AA56" s="387" t="s">
        <v>253</v>
      </c>
      <c r="AB56" s="387" t="s">
        <v>254</v>
      </c>
      <c r="AC56" s="387" t="s">
        <v>255</v>
      </c>
      <c r="AD56" s="388" t="s">
        <v>256</v>
      </c>
      <c r="AE56" s="21" t="s">
        <v>612</v>
      </c>
      <c r="AF56" s="22" t="s">
        <v>613</v>
      </c>
      <c r="AG56" s="22"/>
      <c r="AH56" s="23"/>
    </row>
    <row r="57" spans="2:40" ht="30">
      <c r="B57" s="389" t="s">
        <v>259</v>
      </c>
      <c r="C57" s="390" t="s">
        <v>260</v>
      </c>
      <c r="D57" s="391"/>
      <c r="E57" s="392" t="e">
        <f>LEFT(dms_SingleYear_FinalYear_Result,2)&amp;RIGHT(dms_SingleYear_FinalYear_Result,2)</f>
        <v>#NAME?</v>
      </c>
      <c r="F57" s="393" t="s">
        <v>261</v>
      </c>
      <c r="G57" s="394"/>
      <c r="H57" s="395" t="s">
        <v>262</v>
      </c>
      <c r="I57"/>
      <c r="N57" s="26" t="s">
        <v>263</v>
      </c>
      <c r="O57" s="396" t="s">
        <v>264</v>
      </c>
      <c r="P57" s="27" t="s">
        <v>265</v>
      </c>
      <c r="Q57" s="27" t="s">
        <v>265</v>
      </c>
      <c r="R57" s="27" t="s">
        <v>265</v>
      </c>
      <c r="S57" s="27" t="s">
        <v>265</v>
      </c>
      <c r="T57" s="28" t="s">
        <v>265</v>
      </c>
      <c r="U57" s="28" t="s">
        <v>270</v>
      </c>
      <c r="V57" s="28" t="s">
        <v>270</v>
      </c>
      <c r="W57" s="397" t="s">
        <v>634</v>
      </c>
      <c r="X57" s="398" t="s">
        <v>265</v>
      </c>
      <c r="Y57" s="399" t="s">
        <v>266</v>
      </c>
      <c r="Z57" s="29" t="s">
        <v>267</v>
      </c>
      <c r="AA57" s="30" t="s">
        <v>267</v>
      </c>
      <c r="AB57" s="31" t="s">
        <v>268</v>
      </c>
      <c r="AC57" s="31" t="s">
        <v>269</v>
      </c>
      <c r="AD57" s="32" t="s">
        <v>270</v>
      </c>
      <c r="AE57" s="400" t="s">
        <v>352</v>
      </c>
      <c r="AF57" s="31" t="s">
        <v>352</v>
      </c>
      <c r="AG57" s="69"/>
      <c r="AH57" s="70"/>
    </row>
    <row r="58" spans="2:40" ht="30.75" customHeight="1">
      <c r="B58" s="401" t="s">
        <v>273</v>
      </c>
      <c r="C58" s="402" t="s">
        <v>274</v>
      </c>
      <c r="D58" s="403"/>
      <c r="E58" s="404" t="e">
        <f>LEFT(dms_SingleYear_FinalYear_Result,2)&amp;RIGHT(dms_SingleYear_FinalYear_Result,2)</f>
        <v>#NAME?</v>
      </c>
      <c r="F58" s="405" t="s">
        <v>261</v>
      </c>
      <c r="G58" s="406"/>
      <c r="H58" s="407" t="s">
        <v>262</v>
      </c>
      <c r="I58"/>
      <c r="N58" s="34" t="s">
        <v>275</v>
      </c>
      <c r="O58" s="408" t="s">
        <v>264</v>
      </c>
      <c r="P58" s="35" t="s">
        <v>265</v>
      </c>
      <c r="Q58" s="35" t="s">
        <v>265</v>
      </c>
      <c r="R58" s="35" t="s">
        <v>265</v>
      </c>
      <c r="S58" s="35" t="s">
        <v>265</v>
      </c>
      <c r="T58" s="409" t="s">
        <v>265</v>
      </c>
      <c r="U58" s="409" t="s">
        <v>265</v>
      </c>
      <c r="V58" s="409" t="s">
        <v>265</v>
      </c>
      <c r="W58" s="410" t="s">
        <v>635</v>
      </c>
      <c r="X58" s="411" t="s">
        <v>265</v>
      </c>
      <c r="Y58" s="412" t="s">
        <v>265</v>
      </c>
      <c r="Z58" s="413" t="s">
        <v>267</v>
      </c>
      <c r="AA58" s="36" t="s">
        <v>267</v>
      </c>
      <c r="AB58" s="36" t="s">
        <v>276</v>
      </c>
      <c r="AC58" s="36" t="s">
        <v>277</v>
      </c>
      <c r="AD58" s="37"/>
      <c r="AE58" s="413" t="s">
        <v>352</v>
      </c>
      <c r="AF58" s="36" t="s">
        <v>352</v>
      </c>
      <c r="AG58" s="69"/>
      <c r="AH58" s="70"/>
    </row>
    <row r="59" spans="2:40" ht="30">
      <c r="B59" s="401" t="s">
        <v>279</v>
      </c>
      <c r="C59" s="402" t="s">
        <v>279</v>
      </c>
      <c r="D59" s="403"/>
      <c r="E59" s="404"/>
      <c r="F59" s="405"/>
      <c r="G59" s="406"/>
      <c r="H59" s="414"/>
      <c r="I59"/>
      <c r="J59" s="1"/>
      <c r="N59" s="34" t="s">
        <v>280</v>
      </c>
      <c r="O59" s="408" t="s">
        <v>264</v>
      </c>
      <c r="P59" s="35" t="s">
        <v>281</v>
      </c>
      <c r="Q59" s="35" t="s">
        <v>281</v>
      </c>
      <c r="R59" s="35" t="s">
        <v>281</v>
      </c>
      <c r="S59" s="35" t="s">
        <v>281</v>
      </c>
      <c r="T59" s="409" t="s">
        <v>265</v>
      </c>
      <c r="U59" s="409" t="s">
        <v>270</v>
      </c>
      <c r="V59" s="409" t="s">
        <v>270</v>
      </c>
      <c r="W59" s="410" t="s">
        <v>636</v>
      </c>
      <c r="X59" s="411" t="s">
        <v>265</v>
      </c>
      <c r="Y59" s="412" t="s">
        <v>282</v>
      </c>
      <c r="Z59" s="413" t="s">
        <v>283</v>
      </c>
      <c r="AA59" s="36" t="s">
        <v>283</v>
      </c>
      <c r="AB59" s="36" t="s">
        <v>284</v>
      </c>
      <c r="AC59" s="36" t="s">
        <v>277</v>
      </c>
      <c r="AD59" s="37"/>
      <c r="AE59" s="413" t="s">
        <v>352</v>
      </c>
      <c r="AF59" s="36" t="s">
        <v>352</v>
      </c>
      <c r="AG59" s="69"/>
      <c r="AH59" s="70"/>
    </row>
    <row r="60" spans="2:40" ht="30">
      <c r="B60" s="401" t="s">
        <v>287</v>
      </c>
      <c r="C60" s="402" t="s">
        <v>288</v>
      </c>
      <c r="D60" s="403"/>
      <c r="E60" s="415" t="e">
        <f>LEFT(dms_SingleYear_FinalYear_Result,2)&amp;RIGHT(dms_SingleYear_FinalYear_Result,2)</f>
        <v>#NAME?</v>
      </c>
      <c r="F60" s="416" t="s">
        <v>261</v>
      </c>
      <c r="G60" s="406"/>
      <c r="H60" s="407" t="s">
        <v>262</v>
      </c>
      <c r="I60"/>
      <c r="J60" s="1"/>
      <c r="N60" s="34" t="s">
        <v>289</v>
      </c>
      <c r="O60" s="408" t="s">
        <v>264</v>
      </c>
      <c r="P60" s="35" t="s">
        <v>265</v>
      </c>
      <c r="Q60" s="35" t="s">
        <v>265</v>
      </c>
      <c r="R60" s="35" t="s">
        <v>265</v>
      </c>
      <c r="S60" s="35" t="s">
        <v>265</v>
      </c>
      <c r="T60" s="409" t="s">
        <v>265</v>
      </c>
      <c r="U60" s="409" t="s">
        <v>270</v>
      </c>
      <c r="V60" s="409" t="s">
        <v>270</v>
      </c>
      <c r="W60" s="410" t="s">
        <v>637</v>
      </c>
      <c r="X60" s="411" t="s">
        <v>282</v>
      </c>
      <c r="Y60" s="412" t="s">
        <v>265</v>
      </c>
      <c r="Z60" s="413" t="s">
        <v>283</v>
      </c>
      <c r="AA60" s="36" t="s">
        <v>283</v>
      </c>
      <c r="AB60" s="8"/>
      <c r="AC60" s="36" t="s">
        <v>277</v>
      </c>
      <c r="AD60" s="37"/>
      <c r="AE60" s="413" t="s">
        <v>352</v>
      </c>
      <c r="AF60" s="36" t="s">
        <v>352</v>
      </c>
      <c r="AG60" s="69"/>
      <c r="AH60" s="70"/>
    </row>
    <row r="61" spans="2:40">
      <c r="B61" s="401" t="s">
        <v>292</v>
      </c>
      <c r="C61" s="417" t="s">
        <v>293</v>
      </c>
      <c r="D61" s="403"/>
      <c r="E61" s="415" t="e">
        <f>LEFT(dms_MultiYear_FinalYear_Result,2)&amp;RIGHT(dms_MultiYear_FinalYear_Result,2)</f>
        <v>#NAME?</v>
      </c>
      <c r="F61" s="416" t="s">
        <v>294</v>
      </c>
      <c r="G61" s="406"/>
      <c r="H61" s="414"/>
      <c r="I61"/>
      <c r="J61" s="1"/>
      <c r="N61" s="34" t="s">
        <v>295</v>
      </c>
      <c r="O61" s="418" t="s">
        <v>296</v>
      </c>
      <c r="P61" s="35" t="s">
        <v>297</v>
      </c>
      <c r="Q61" s="35" t="s">
        <v>297</v>
      </c>
      <c r="R61" s="35" t="s">
        <v>297</v>
      </c>
      <c r="S61" s="35" t="s">
        <v>297</v>
      </c>
      <c r="T61" s="409" t="s">
        <v>298</v>
      </c>
      <c r="U61" s="409" t="s">
        <v>265</v>
      </c>
      <c r="V61" s="409" t="s">
        <v>265</v>
      </c>
      <c r="W61" s="410" t="s">
        <v>638</v>
      </c>
      <c r="X61" s="40"/>
      <c r="Y61" s="41"/>
      <c r="Z61" s="42"/>
      <c r="AA61" s="8"/>
      <c r="AB61" s="8"/>
      <c r="AC61" s="36" t="s">
        <v>277</v>
      </c>
      <c r="AD61" s="37"/>
      <c r="AE61" s="413" t="s">
        <v>352</v>
      </c>
      <c r="AF61" s="36" t="s">
        <v>298</v>
      </c>
      <c r="AG61" s="69"/>
      <c r="AH61" s="70"/>
    </row>
    <row r="62" spans="2:40">
      <c r="B62" s="401" t="s">
        <v>301</v>
      </c>
      <c r="C62" s="402" t="s">
        <v>302</v>
      </c>
      <c r="D62" s="403"/>
      <c r="E62" s="415" t="e">
        <f>LEFT(dms_MultiYear_FinalYear_Result,2)&amp;RIGHT(dms_MultiYear_FinalYear_Result,2)</f>
        <v>#NAME?</v>
      </c>
      <c r="F62" s="416" t="s">
        <v>294</v>
      </c>
      <c r="G62" s="406"/>
      <c r="H62" s="407" t="s">
        <v>262</v>
      </c>
      <c r="I62"/>
      <c r="J62" s="1"/>
      <c r="N62" s="34" t="s">
        <v>303</v>
      </c>
      <c r="O62" s="418" t="s">
        <v>296</v>
      </c>
      <c r="P62" s="35" t="s">
        <v>304</v>
      </c>
      <c r="Q62" s="35" t="s">
        <v>304</v>
      </c>
      <c r="R62" s="35" t="s">
        <v>304</v>
      </c>
      <c r="S62" s="35" t="s">
        <v>304</v>
      </c>
      <c r="T62" s="43"/>
      <c r="U62" s="409" t="s">
        <v>639</v>
      </c>
      <c r="V62" s="409" t="s">
        <v>639</v>
      </c>
      <c r="W62" s="410" t="s">
        <v>640</v>
      </c>
      <c r="X62" s="40"/>
      <c r="Y62" s="41"/>
      <c r="Z62" s="42"/>
      <c r="AA62" s="8"/>
      <c r="AB62" s="8"/>
      <c r="AC62" s="36" t="s">
        <v>305</v>
      </c>
      <c r="AD62" s="37"/>
      <c r="AE62" s="413" t="s">
        <v>352</v>
      </c>
      <c r="AF62" s="69"/>
      <c r="AG62" s="69"/>
      <c r="AH62" s="70"/>
    </row>
    <row r="63" spans="2:40">
      <c r="B63" s="401" t="s">
        <v>308</v>
      </c>
      <c r="C63" s="402" t="s">
        <v>309</v>
      </c>
      <c r="D63" s="403"/>
      <c r="E63" s="415" t="e">
        <f>LEFT(dms_CRCP_FinalYear_Result,2)&amp;RIGHT(dms_CRCP_FinalYear_Result,2)</f>
        <v>#NAME?</v>
      </c>
      <c r="F63" s="416" t="s">
        <v>310</v>
      </c>
      <c r="G63" s="406"/>
      <c r="H63" s="414"/>
      <c r="I63"/>
      <c r="J63" s="1"/>
      <c r="N63" s="34" t="s">
        <v>311</v>
      </c>
      <c r="O63" s="418" t="s">
        <v>296</v>
      </c>
      <c r="P63" s="35" t="s">
        <v>297</v>
      </c>
      <c r="Q63" s="35" t="s">
        <v>297</v>
      </c>
      <c r="R63" s="35" t="s">
        <v>297</v>
      </c>
      <c r="S63" s="35" t="s">
        <v>297</v>
      </c>
      <c r="T63" s="43"/>
      <c r="U63" s="43"/>
      <c r="V63" s="43"/>
      <c r="W63" s="43"/>
      <c r="X63" s="40"/>
      <c r="Y63" s="41"/>
      <c r="Z63" s="42"/>
      <c r="AA63" s="8"/>
      <c r="AB63" s="8"/>
      <c r="AC63" s="36" t="s">
        <v>305</v>
      </c>
      <c r="AD63" s="37"/>
      <c r="AE63" s="413" t="s">
        <v>352</v>
      </c>
      <c r="AF63" s="69"/>
      <c r="AG63" s="69"/>
      <c r="AH63" s="70"/>
    </row>
    <row r="64" spans="2:40" ht="15.75" thickBot="1">
      <c r="B64" s="419" t="s">
        <v>314</v>
      </c>
      <c r="C64" s="420" t="s">
        <v>315</v>
      </c>
      <c r="D64" s="421"/>
      <c r="E64" s="422" t="e">
        <f>LEFT(dms_MultiYear_FinalYear_Result,2)&amp;RIGHT(dms_MultiYear_FinalYear_Result,2)</f>
        <v>#NAME?</v>
      </c>
      <c r="F64" s="423" t="s">
        <v>294</v>
      </c>
      <c r="G64" s="424"/>
      <c r="H64" s="425"/>
      <c r="I64"/>
      <c r="J64" s="1"/>
      <c r="N64" s="45" t="s">
        <v>278</v>
      </c>
      <c r="O64" s="46"/>
      <c r="P64" s="35" t="s">
        <v>304</v>
      </c>
      <c r="Q64" s="35" t="s">
        <v>304</v>
      </c>
      <c r="R64" s="35" t="s">
        <v>304</v>
      </c>
      <c r="S64" s="35" t="s">
        <v>304</v>
      </c>
      <c r="T64" s="43"/>
      <c r="U64" s="43"/>
      <c r="V64" s="43"/>
      <c r="W64" s="43"/>
      <c r="X64" s="40"/>
      <c r="Y64" s="41"/>
      <c r="Z64" s="47"/>
      <c r="AA64" s="8"/>
      <c r="AB64" s="8"/>
      <c r="AC64" s="36" t="s">
        <v>316</v>
      </c>
      <c r="AD64" s="37"/>
      <c r="AE64" s="413" t="s">
        <v>352</v>
      </c>
      <c r="AF64" s="69"/>
      <c r="AG64" s="69"/>
      <c r="AH64" s="70"/>
    </row>
    <row r="65" spans="2:34" thickBot="1">
      <c r="C65" s="7"/>
      <c r="H65" s="1"/>
      <c r="I65" s="25"/>
      <c r="J65" s="1"/>
      <c r="O65" s="46"/>
      <c r="P65" s="35" t="s">
        <v>297</v>
      </c>
      <c r="Q65" s="35" t="s">
        <v>297</v>
      </c>
      <c r="R65" s="35" t="s">
        <v>297</v>
      </c>
      <c r="S65" s="35" t="s">
        <v>297</v>
      </c>
      <c r="T65" s="43"/>
      <c r="U65" s="43"/>
      <c r="V65" s="43"/>
      <c r="W65" s="43"/>
      <c r="X65" s="40"/>
      <c r="Y65" s="41"/>
      <c r="Z65" s="47"/>
      <c r="AA65" s="8"/>
      <c r="AB65" s="8"/>
      <c r="AC65" s="36" t="s">
        <v>316</v>
      </c>
      <c r="AD65" s="37"/>
      <c r="AE65" s="413" t="s">
        <v>352</v>
      </c>
      <c r="AF65" s="69"/>
      <c r="AG65" s="69"/>
      <c r="AH65" s="70"/>
    </row>
    <row r="66" spans="2:34" ht="15.75" thickBot="1">
      <c r="B66" s="51" t="s">
        <v>320</v>
      </c>
      <c r="C66" s="51" t="s">
        <v>752</v>
      </c>
      <c r="O66" s="46"/>
      <c r="P66" s="35" t="s">
        <v>265</v>
      </c>
      <c r="Q66" s="43"/>
      <c r="R66" s="35" t="s">
        <v>282</v>
      </c>
      <c r="S66" s="43"/>
      <c r="T66" s="43"/>
      <c r="U66" s="43"/>
      <c r="V66" s="43"/>
      <c r="W66" s="43"/>
      <c r="X66" s="40"/>
      <c r="Y66" s="41"/>
      <c r="Z66" s="47"/>
      <c r="AA66" s="8"/>
      <c r="AB66" s="8"/>
      <c r="AC66" s="36" t="s">
        <v>321</v>
      </c>
      <c r="AD66" s="37"/>
      <c r="AE66" s="413" t="s">
        <v>352</v>
      </c>
      <c r="AF66" s="69"/>
      <c r="AG66" s="69"/>
      <c r="AH66" s="70"/>
    </row>
    <row r="67" spans="2:34" ht="14.25">
      <c r="B67" s="53" t="s">
        <v>323</v>
      </c>
      <c r="C67" s="53" t="s">
        <v>335</v>
      </c>
      <c r="O67" s="46"/>
      <c r="P67" s="35" t="s">
        <v>265</v>
      </c>
      <c r="Q67" s="43"/>
      <c r="R67" s="43"/>
      <c r="S67" s="43"/>
      <c r="T67" s="43"/>
      <c r="U67" s="43"/>
      <c r="V67" s="43"/>
      <c r="W67" s="43"/>
      <c r="X67" s="40"/>
      <c r="Y67" s="41"/>
      <c r="Z67" s="47"/>
      <c r="AA67" s="8"/>
      <c r="AB67" s="8"/>
      <c r="AC67" s="36" t="s">
        <v>321</v>
      </c>
      <c r="AD67" s="37"/>
      <c r="AE67" s="413" t="s">
        <v>352</v>
      </c>
      <c r="AF67" s="69"/>
      <c r="AG67" s="69"/>
      <c r="AH67" s="70"/>
    </row>
    <row r="68" spans="2:34" ht="14.25">
      <c r="B68" s="55" t="s">
        <v>326</v>
      </c>
      <c r="C68" s="55" t="s">
        <v>753</v>
      </c>
      <c r="O68" s="46"/>
      <c r="P68" s="35" t="s">
        <v>265</v>
      </c>
      <c r="Q68" s="43"/>
      <c r="R68" s="43"/>
      <c r="S68" s="43"/>
      <c r="T68" s="43"/>
      <c r="U68" s="43"/>
      <c r="V68" s="43"/>
      <c r="W68" s="43"/>
      <c r="X68" s="40"/>
      <c r="Y68" s="41"/>
      <c r="Z68" s="47"/>
      <c r="AA68" s="8"/>
      <c r="AB68" s="8"/>
      <c r="AC68" s="36" t="s">
        <v>327</v>
      </c>
      <c r="AD68" s="37"/>
      <c r="AE68" s="413" t="s">
        <v>352</v>
      </c>
      <c r="AF68" s="69"/>
      <c r="AG68" s="69"/>
      <c r="AH68" s="70"/>
    </row>
    <row r="69" spans="2:34" thickBot="1">
      <c r="B69" s="55" t="s">
        <v>330</v>
      </c>
      <c r="C69" s="55"/>
      <c r="O69" s="57"/>
      <c r="P69" s="58" t="s">
        <v>282</v>
      </c>
      <c r="Q69" s="59"/>
      <c r="R69" s="59"/>
      <c r="S69" s="59"/>
      <c r="T69" s="59"/>
      <c r="U69" s="59"/>
      <c r="V69" s="59"/>
      <c r="W69" s="59"/>
      <c r="X69" s="60"/>
      <c r="Y69" s="61"/>
      <c r="Z69" s="47"/>
      <c r="AA69" s="8"/>
      <c r="AB69" s="8"/>
      <c r="AC69" s="36" t="s">
        <v>270</v>
      </c>
      <c r="AD69" s="37"/>
      <c r="AE69" s="413" t="s">
        <v>298</v>
      </c>
      <c r="AF69" s="69"/>
      <c r="AG69" s="69"/>
      <c r="AH69" s="70"/>
    </row>
    <row r="70" spans="2:34" ht="15.75" thickBot="1">
      <c r="B70" s="55"/>
      <c r="C70" s="55"/>
      <c r="E70" s="199"/>
      <c r="T70" s="426"/>
      <c r="X70" s="2"/>
      <c r="Y70" s="2"/>
      <c r="Z70" s="62"/>
      <c r="AA70" s="63"/>
      <c r="AB70" s="63"/>
      <c r="AC70" s="64" t="s">
        <v>327</v>
      </c>
      <c r="AD70" s="65"/>
      <c r="AE70" s="427" t="s">
        <v>298</v>
      </c>
      <c r="AF70" s="69" t="s">
        <v>333</v>
      </c>
      <c r="AG70" s="69"/>
      <c r="AH70" s="70"/>
    </row>
    <row r="71" spans="2:34" ht="15.75" thickBot="1">
      <c r="B71" s="67"/>
      <c r="C71" s="67"/>
      <c r="E71" s="199"/>
      <c r="T71" s="428"/>
      <c r="X71" s="2"/>
      <c r="Y71" s="2"/>
      <c r="Z71" s="68"/>
      <c r="AA71" s="69"/>
      <c r="AB71" s="69"/>
      <c r="AC71" s="69"/>
      <c r="AD71" s="70"/>
      <c r="AE71" s="429"/>
      <c r="AF71" s="69"/>
      <c r="AG71" s="69"/>
      <c r="AH71" s="70"/>
    </row>
    <row r="72" spans="2:34" ht="15.75" thickBot="1">
      <c r="C72" s="7"/>
      <c r="E72" s="199"/>
      <c r="T72" s="430"/>
      <c r="X72" s="2"/>
      <c r="Y72" s="2"/>
      <c r="Z72" s="68"/>
      <c r="AA72" s="69"/>
      <c r="AB72" s="69"/>
      <c r="AC72" s="69"/>
      <c r="AD72" s="70"/>
      <c r="AE72" s="429"/>
      <c r="AF72" s="69"/>
      <c r="AG72" s="69"/>
      <c r="AH72" s="70"/>
    </row>
    <row r="73" spans="2:34" ht="58.5" customHeight="1" thickBot="1">
      <c r="B73" s="71" t="s">
        <v>339</v>
      </c>
      <c r="C73" s="71" t="s">
        <v>340</v>
      </c>
      <c r="E73" s="199"/>
      <c r="O73" s="776" t="s">
        <v>341</v>
      </c>
      <c r="P73" s="777"/>
      <c r="V73"/>
      <c r="W73"/>
      <c r="X73"/>
      <c r="Y73" s="2"/>
      <c r="Z73" s="778" t="s">
        <v>342</v>
      </c>
      <c r="AA73" s="779"/>
      <c r="AB73" s="779"/>
      <c r="AC73" s="780"/>
      <c r="AD73" s="70"/>
      <c r="AE73" s="429"/>
      <c r="AF73" s="69"/>
      <c r="AG73" s="69"/>
      <c r="AH73" s="70"/>
    </row>
    <row r="74" spans="2:34" ht="26.25" thickBot="1">
      <c r="B74" s="73" t="s">
        <v>344</v>
      </c>
      <c r="C74" s="73" t="s">
        <v>345</v>
      </c>
      <c r="E74" s="199"/>
      <c r="O74" s="431" t="s">
        <v>346</v>
      </c>
      <c r="V74"/>
      <c r="W74"/>
      <c r="X74"/>
      <c r="Y74" s="2"/>
      <c r="Z74" s="432" t="s">
        <v>252</v>
      </c>
      <c r="AA74" s="432"/>
      <c r="AB74" s="433" t="s">
        <v>254</v>
      </c>
      <c r="AC74" s="434" t="s">
        <v>255</v>
      </c>
      <c r="AD74" s="70"/>
      <c r="AE74" s="429"/>
      <c r="AF74" s="69"/>
      <c r="AG74" s="69"/>
      <c r="AH74" s="70"/>
    </row>
    <row r="75" spans="2:34" ht="15.75" thickBot="1">
      <c r="B75" s="75" t="s">
        <v>347</v>
      </c>
      <c r="C75" s="76" t="s">
        <v>54</v>
      </c>
      <c r="E75" s="199"/>
      <c r="O75" s="77" t="s">
        <v>348</v>
      </c>
      <c r="V75"/>
      <c r="W75"/>
      <c r="X75"/>
      <c r="Y75" s="2"/>
      <c r="Z75" s="78" t="s">
        <v>269</v>
      </c>
      <c r="AA75" s="79"/>
      <c r="AB75" s="80" t="s">
        <v>277</v>
      </c>
      <c r="AC75" s="81" t="s">
        <v>270</v>
      </c>
      <c r="AD75" s="70"/>
      <c r="AE75" s="429"/>
      <c r="AF75" s="69"/>
      <c r="AG75" s="69"/>
      <c r="AH75" s="70"/>
    </row>
    <row r="76" spans="2:34">
      <c r="B76" s="83" t="s">
        <v>350</v>
      </c>
      <c r="C76" s="84" t="s">
        <v>351</v>
      </c>
      <c r="E76" s="199"/>
      <c r="V76"/>
      <c r="W76"/>
      <c r="X76"/>
      <c r="Y76" s="2"/>
      <c r="Z76" s="85" t="s">
        <v>352</v>
      </c>
      <c r="AA76" s="8"/>
      <c r="AB76" s="36" t="s">
        <v>305</v>
      </c>
      <c r="AC76" s="86" t="s">
        <v>269</v>
      </c>
      <c r="AD76" s="70"/>
      <c r="AE76" s="429"/>
      <c r="AF76" s="69"/>
      <c r="AG76" s="69"/>
      <c r="AH76" s="70"/>
    </row>
    <row r="77" spans="2:34" ht="15.75" thickBot="1">
      <c r="B77" s="83" t="s">
        <v>354</v>
      </c>
      <c r="C77" s="88" t="s">
        <v>71</v>
      </c>
      <c r="E77" s="199"/>
      <c r="V77"/>
      <c r="W77"/>
      <c r="X77"/>
      <c r="Y77" s="2"/>
      <c r="Z77" s="85" t="s">
        <v>352</v>
      </c>
      <c r="AA77" s="8"/>
      <c r="AB77" s="36" t="s">
        <v>316</v>
      </c>
      <c r="AC77" s="86" t="s">
        <v>270</v>
      </c>
      <c r="AD77" s="70"/>
      <c r="AE77" s="429"/>
      <c r="AF77" s="69"/>
      <c r="AG77" s="69"/>
      <c r="AH77" s="70"/>
    </row>
    <row r="78" spans="2:34">
      <c r="B78" s="83" t="s">
        <v>356</v>
      </c>
      <c r="C78" s="1"/>
      <c r="E78" s="199"/>
      <c r="V78"/>
      <c r="W78"/>
      <c r="X78"/>
      <c r="Y78" s="2"/>
      <c r="Z78" s="85" t="s">
        <v>269</v>
      </c>
      <c r="AA78" s="8"/>
      <c r="AB78" s="36" t="s">
        <v>321</v>
      </c>
      <c r="AC78" s="86" t="s">
        <v>352</v>
      </c>
      <c r="AD78" s="70"/>
      <c r="AE78" s="429"/>
      <c r="AF78" s="69"/>
      <c r="AG78" s="69"/>
      <c r="AH78" s="70"/>
    </row>
    <row r="79" spans="2:34">
      <c r="B79" s="83" t="s">
        <v>358</v>
      </c>
      <c r="E79" s="199"/>
      <c r="V79"/>
      <c r="W79"/>
      <c r="X79"/>
      <c r="Y79" s="2"/>
      <c r="Z79" s="85" t="s">
        <v>352</v>
      </c>
      <c r="AA79" s="8"/>
      <c r="AB79" s="36" t="s">
        <v>277</v>
      </c>
      <c r="AC79" s="9"/>
      <c r="AD79" s="70"/>
      <c r="AE79" s="429"/>
      <c r="AF79" s="69"/>
      <c r="AG79" s="69"/>
      <c r="AH79" s="70"/>
    </row>
    <row r="80" spans="2:34">
      <c r="B80" s="83" t="s">
        <v>359</v>
      </c>
      <c r="E80" s="199"/>
      <c r="V80"/>
      <c r="W80"/>
      <c r="X80"/>
      <c r="Y80" s="2"/>
      <c r="Z80" s="85" t="s">
        <v>352</v>
      </c>
      <c r="AA80" s="8"/>
      <c r="AB80" s="36" t="s">
        <v>270</v>
      </c>
      <c r="AC80" s="9"/>
      <c r="AD80" s="70"/>
      <c r="AE80" s="429"/>
      <c r="AF80" s="69"/>
      <c r="AG80" s="69"/>
      <c r="AH80" s="70"/>
    </row>
    <row r="81" spans="1:34">
      <c r="B81" s="83" t="s">
        <v>360</v>
      </c>
      <c r="E81" s="199"/>
      <c r="V81"/>
      <c r="W81"/>
      <c r="X81"/>
      <c r="Y81" s="2"/>
      <c r="Z81" s="85" t="s">
        <v>269</v>
      </c>
      <c r="AA81" s="8"/>
      <c r="AB81" s="36" t="s">
        <v>270</v>
      </c>
      <c r="AC81" s="9"/>
      <c r="AD81" s="70"/>
      <c r="AE81" s="429"/>
      <c r="AF81" s="69"/>
      <c r="AG81" s="69"/>
      <c r="AH81" s="70"/>
    </row>
    <row r="82" spans="1:34">
      <c r="B82" s="83" t="s">
        <v>361</v>
      </c>
      <c r="E82" s="199"/>
      <c r="X82" s="2"/>
      <c r="Y82" s="2"/>
      <c r="Z82" s="85" t="s">
        <v>352</v>
      </c>
      <c r="AA82" s="8"/>
      <c r="AB82" s="36" t="s">
        <v>277</v>
      </c>
      <c r="AC82" s="9"/>
      <c r="AD82" s="70"/>
      <c r="AE82" s="429"/>
      <c r="AF82" s="69"/>
      <c r="AG82" s="69"/>
      <c r="AH82" s="70"/>
    </row>
    <row r="83" spans="1:34">
      <c r="B83" s="83" t="s">
        <v>362</v>
      </c>
      <c r="E83" s="199"/>
      <c r="X83" s="2"/>
      <c r="Y83" s="2"/>
      <c r="Z83" s="85" t="s">
        <v>352</v>
      </c>
      <c r="AA83" s="8"/>
      <c r="AB83" s="8"/>
      <c r="AC83" s="9"/>
      <c r="AD83" s="70"/>
      <c r="AE83" s="429"/>
      <c r="AF83" s="69"/>
      <c r="AG83" s="69"/>
      <c r="AH83" s="70"/>
    </row>
    <row r="84" spans="1:34">
      <c r="B84" s="83" t="s">
        <v>363</v>
      </c>
      <c r="E84" s="199"/>
      <c r="X84" s="2"/>
      <c r="Y84" s="2"/>
      <c r="Z84" s="85" t="s">
        <v>269</v>
      </c>
      <c r="AA84" s="8"/>
      <c r="AB84" s="8"/>
      <c r="AC84" s="9"/>
      <c r="AD84" s="70"/>
      <c r="AE84" s="429"/>
      <c r="AF84" s="69"/>
      <c r="AG84" s="69"/>
      <c r="AH84" s="70"/>
    </row>
    <row r="85" spans="1:34">
      <c r="B85" s="83" t="s">
        <v>364</v>
      </c>
      <c r="E85" s="199"/>
      <c r="X85" s="2"/>
      <c r="Y85" s="2"/>
      <c r="Z85" s="85" t="s">
        <v>352</v>
      </c>
      <c r="AA85" s="8"/>
      <c r="AB85" s="8"/>
      <c r="AC85" s="9"/>
      <c r="AD85" s="70"/>
      <c r="AE85" s="429"/>
      <c r="AF85" s="69"/>
      <c r="AG85" s="69"/>
      <c r="AH85" s="70"/>
    </row>
    <row r="86" spans="1:34">
      <c r="B86" s="93" t="s">
        <v>365</v>
      </c>
      <c r="E86" s="199"/>
      <c r="X86" s="2"/>
      <c r="Y86" s="2"/>
      <c r="Z86" s="85" t="s">
        <v>269</v>
      </c>
      <c r="AA86" s="8"/>
      <c r="AB86" s="8"/>
      <c r="AC86" s="9"/>
      <c r="AD86" s="70"/>
      <c r="AE86" s="429"/>
      <c r="AF86" s="69"/>
      <c r="AG86" s="69"/>
      <c r="AH86" s="70"/>
    </row>
    <row r="87" spans="1:34" ht="15.75" thickBot="1">
      <c r="B87" s="94" t="s">
        <v>366</v>
      </c>
      <c r="E87" s="199"/>
      <c r="X87" s="2"/>
      <c r="Y87" s="2"/>
      <c r="Z87" s="85" t="s">
        <v>352</v>
      </c>
      <c r="AA87" s="8"/>
      <c r="AB87" s="8"/>
      <c r="AC87" s="9"/>
      <c r="AD87" s="70"/>
      <c r="AE87" s="429"/>
      <c r="AF87" s="69"/>
      <c r="AG87" s="69"/>
      <c r="AH87" s="70"/>
    </row>
    <row r="88" spans="1:34">
      <c r="B88" s="199"/>
      <c r="E88" s="199"/>
      <c r="X88" s="2"/>
      <c r="Y88" s="2"/>
      <c r="Z88" s="85" t="s">
        <v>269</v>
      </c>
      <c r="AA88" s="8"/>
      <c r="AB88" s="8"/>
      <c r="AC88" s="9"/>
      <c r="AD88" s="70"/>
      <c r="AE88" s="429"/>
      <c r="AF88" s="69"/>
      <c r="AG88" s="69"/>
      <c r="AH88" s="70"/>
    </row>
    <row r="89" spans="1:34" ht="15.75" thickBot="1">
      <c r="B89" s="199"/>
      <c r="E89" s="199"/>
      <c r="X89" s="2"/>
      <c r="Y89" s="2"/>
      <c r="Z89" s="95" t="s">
        <v>352</v>
      </c>
      <c r="AA89" s="96"/>
      <c r="AB89" s="96"/>
      <c r="AC89" s="97"/>
      <c r="AD89" s="98"/>
      <c r="AE89" s="435"/>
      <c r="AF89" s="194"/>
      <c r="AG89" s="194"/>
      <c r="AH89" s="98"/>
    </row>
    <row r="90" spans="1:34">
      <c r="A90" s="199"/>
      <c r="B90" s="436"/>
      <c r="C90" s="437"/>
      <c r="D90" s="438"/>
      <c r="E90" s="437"/>
      <c r="F90" s="439"/>
      <c r="G90" s="438"/>
      <c r="H90" s="438"/>
      <c r="I90" s="436"/>
      <c r="J90" s="5"/>
      <c r="X90" s="2"/>
      <c r="Y90" s="2"/>
      <c r="Z90" s="2"/>
      <c r="AB90" s="1"/>
      <c r="AC90" s="1"/>
      <c r="AE90" s="199"/>
      <c r="AF90" s="199"/>
    </row>
    <row r="91" spans="1:34">
      <c r="A91" s="199"/>
      <c r="C91" s="199"/>
      <c r="E91" s="199"/>
      <c r="X91" s="2"/>
      <c r="Y91" s="2"/>
      <c r="Z91" s="2"/>
      <c r="AA91" s="2"/>
      <c r="AB91" s="1"/>
      <c r="AC91" s="1"/>
      <c r="AF91" s="199"/>
      <c r="AG91" s="199"/>
    </row>
    <row r="92" spans="1:34" ht="15.75" thickBot="1">
      <c r="A92" s="199"/>
      <c r="C92" s="199"/>
      <c r="E92" s="199"/>
      <c r="X92" s="2"/>
      <c r="Y92" s="2"/>
      <c r="Z92" s="2"/>
      <c r="AA92" s="2"/>
      <c r="AB92" s="1"/>
      <c r="AC92" s="1"/>
      <c r="AF92" s="199"/>
      <c r="AG92" s="199"/>
    </row>
    <row r="93" spans="1:34" ht="30.75" thickBot="1">
      <c r="A93" s="199"/>
      <c r="B93" s="13" t="s">
        <v>238</v>
      </c>
      <c r="C93" s="14" t="s">
        <v>239</v>
      </c>
      <c r="D93" s="15" t="s">
        <v>240</v>
      </c>
      <c r="E93" s="440" t="s">
        <v>641</v>
      </c>
      <c r="F93" s="440" t="s">
        <v>642</v>
      </c>
      <c r="G93" s="440" t="s">
        <v>643</v>
      </c>
      <c r="H93" s="1"/>
      <c r="X93" s="2"/>
      <c r="Y93" s="2"/>
      <c r="Z93" s="2"/>
      <c r="AA93" s="2"/>
      <c r="AB93" s="1"/>
      <c r="AC93" s="1"/>
      <c r="AF93" s="199"/>
      <c r="AG93" s="199"/>
    </row>
    <row r="94" spans="1:34">
      <c r="A94" s="199"/>
      <c r="B94" s="760" t="s">
        <v>257</v>
      </c>
      <c r="C94" s="24" t="s">
        <v>258</v>
      </c>
      <c r="D94" s="441" t="s">
        <v>257</v>
      </c>
      <c r="E94" s="442" t="s">
        <v>319</v>
      </c>
      <c r="F94" s="443" t="s">
        <v>644</v>
      </c>
      <c r="G94" s="444" t="s">
        <v>263</v>
      </c>
      <c r="H94" s="2"/>
      <c r="X94" s="2"/>
      <c r="Y94" s="2"/>
      <c r="Z94" s="2"/>
      <c r="AA94" s="2"/>
      <c r="AB94" s="1"/>
      <c r="AC94" s="1"/>
      <c r="AF94" s="199"/>
      <c r="AG94" s="199"/>
    </row>
    <row r="95" spans="1:34">
      <c r="A95" s="199"/>
      <c r="B95" s="761"/>
      <c r="C95" s="33" t="s">
        <v>271</v>
      </c>
      <c r="D95" s="445" t="s">
        <v>272</v>
      </c>
      <c r="E95" s="446" t="s">
        <v>645</v>
      </c>
      <c r="F95" s="447" t="s">
        <v>646</v>
      </c>
      <c r="G95" s="448" t="s">
        <v>275</v>
      </c>
      <c r="H95" s="1"/>
      <c r="X95" s="2"/>
      <c r="Y95" s="2"/>
      <c r="Z95" s="2"/>
      <c r="AA95" s="2"/>
      <c r="AB95" s="1"/>
      <c r="AC95" s="1"/>
      <c r="AF95" s="199"/>
      <c r="AG95" s="199"/>
    </row>
    <row r="96" spans="1:34" ht="15.75" thickBot="1">
      <c r="A96" s="199"/>
      <c r="B96" s="762"/>
      <c r="C96" s="38" t="s">
        <v>278</v>
      </c>
      <c r="D96" s="445" t="s">
        <v>278</v>
      </c>
      <c r="E96" s="446" t="s">
        <v>647</v>
      </c>
      <c r="F96" s="447" t="s">
        <v>648</v>
      </c>
      <c r="G96" s="448" t="s">
        <v>280</v>
      </c>
      <c r="H96" s="1"/>
      <c r="X96" s="2"/>
      <c r="Y96" s="2"/>
      <c r="Z96" s="2"/>
      <c r="AA96" s="2"/>
      <c r="AB96" s="1"/>
      <c r="AC96" s="1"/>
      <c r="AF96" s="199"/>
      <c r="AG96" s="199"/>
    </row>
    <row r="97" spans="1:33" ht="15.75" thickBot="1">
      <c r="A97" s="199"/>
      <c r="B97" s="760" t="s">
        <v>272</v>
      </c>
      <c r="C97" s="39" t="s">
        <v>285</v>
      </c>
      <c r="D97" s="445" t="s">
        <v>286</v>
      </c>
      <c r="E97" s="446" t="s">
        <v>318</v>
      </c>
      <c r="F97" s="449" t="s">
        <v>278</v>
      </c>
      <c r="G97" s="448" t="s">
        <v>289</v>
      </c>
      <c r="H97" s="1"/>
      <c r="X97" s="2"/>
      <c r="Y97" s="2"/>
      <c r="Z97" s="2"/>
      <c r="AA97" s="2"/>
      <c r="AB97" s="1"/>
      <c r="AC97" s="1"/>
      <c r="AF97" s="199"/>
      <c r="AG97" s="199"/>
    </row>
    <row r="98" spans="1:33">
      <c r="A98" s="199"/>
      <c r="B98" s="761"/>
      <c r="C98" s="33" t="s">
        <v>290</v>
      </c>
      <c r="D98" s="445" t="s">
        <v>291</v>
      </c>
      <c r="E98" s="446" t="s">
        <v>649</v>
      </c>
      <c r="G98" s="448" t="s">
        <v>295</v>
      </c>
      <c r="H98" s="1"/>
      <c r="X98" s="2"/>
      <c r="Y98" s="2"/>
      <c r="Z98" s="2"/>
      <c r="AA98" s="2"/>
      <c r="AB98" s="1"/>
      <c r="AC98" s="1"/>
      <c r="AF98" s="199"/>
      <c r="AG98" s="199"/>
    </row>
    <row r="99" spans="1:33">
      <c r="A99" s="199"/>
      <c r="B99" s="761"/>
      <c r="C99" s="33" t="s">
        <v>299</v>
      </c>
      <c r="D99" s="445" t="s">
        <v>300</v>
      </c>
      <c r="E99" s="446" t="s">
        <v>650</v>
      </c>
      <c r="G99" s="448" t="s">
        <v>303</v>
      </c>
      <c r="H99" s="1"/>
      <c r="X99" s="2"/>
      <c r="Y99" s="2"/>
      <c r="Z99" s="2"/>
      <c r="AA99" s="2"/>
      <c r="AB99" s="1"/>
      <c r="AC99" s="1"/>
      <c r="AF99" s="199"/>
      <c r="AG99" s="199"/>
    </row>
    <row r="100" spans="1:33">
      <c r="A100" s="199"/>
      <c r="B100" s="761"/>
      <c r="C100" s="33" t="s">
        <v>306</v>
      </c>
      <c r="D100" s="445" t="s">
        <v>307</v>
      </c>
      <c r="E100" s="446" t="s">
        <v>651</v>
      </c>
      <c r="G100" s="448" t="s">
        <v>311</v>
      </c>
      <c r="H100" s="1"/>
      <c r="X100" s="2"/>
      <c r="Y100" s="2"/>
      <c r="Z100" s="2"/>
      <c r="AA100" s="2"/>
      <c r="AB100" s="1"/>
      <c r="AC100" s="1"/>
      <c r="AF100" s="199"/>
      <c r="AG100" s="199"/>
    </row>
    <row r="101" spans="1:33" ht="15.75" thickBot="1">
      <c r="A101" s="199"/>
      <c r="B101" s="762"/>
      <c r="C101" s="44" t="s">
        <v>312</v>
      </c>
      <c r="D101" s="445" t="s">
        <v>313</v>
      </c>
      <c r="E101" s="446" t="s">
        <v>652</v>
      </c>
      <c r="G101" s="448" t="s">
        <v>653</v>
      </c>
      <c r="H101" s="1"/>
      <c r="X101" s="2"/>
      <c r="Y101" s="2"/>
      <c r="Z101" s="2"/>
      <c r="AA101" s="2"/>
      <c r="AB101" s="1"/>
      <c r="AC101" s="1"/>
      <c r="AF101" s="199"/>
      <c r="AG101" s="199"/>
    </row>
    <row r="102" spans="1:33">
      <c r="A102" s="199"/>
      <c r="B102" s="48" t="s">
        <v>278</v>
      </c>
      <c r="C102" s="49" t="s">
        <v>317</v>
      </c>
      <c r="D102" s="445" t="s">
        <v>318</v>
      </c>
      <c r="E102" s="446" t="s">
        <v>654</v>
      </c>
      <c r="G102" s="448" t="s">
        <v>655</v>
      </c>
      <c r="H102" s="1"/>
      <c r="X102" s="2"/>
      <c r="Y102" s="2"/>
      <c r="Z102" s="2"/>
      <c r="AA102" s="2"/>
      <c r="AB102" s="1"/>
      <c r="AC102" s="1"/>
      <c r="AF102" s="199"/>
      <c r="AG102" s="199"/>
    </row>
    <row r="103" spans="1:33" ht="15.75" thickBot="1">
      <c r="A103" s="199"/>
      <c r="B103" s="48" t="s">
        <v>286</v>
      </c>
      <c r="C103" s="50" t="s">
        <v>128</v>
      </c>
      <c r="D103" s="445" t="s">
        <v>319</v>
      </c>
      <c r="E103" s="450" t="s">
        <v>278</v>
      </c>
      <c r="G103" s="448" t="s">
        <v>656</v>
      </c>
      <c r="H103" s="1"/>
      <c r="X103" s="2"/>
      <c r="Y103" s="2"/>
      <c r="Z103" s="2"/>
      <c r="AA103" s="2"/>
      <c r="AB103" s="1"/>
      <c r="AC103" s="1"/>
      <c r="AF103" s="199"/>
      <c r="AG103" s="199"/>
    </row>
    <row r="104" spans="1:33" ht="15.75" thickBot="1">
      <c r="A104" s="199"/>
      <c r="B104" s="48" t="s">
        <v>291</v>
      </c>
      <c r="C104" s="52" t="s">
        <v>128</v>
      </c>
      <c r="D104" s="451" t="s">
        <v>322</v>
      </c>
      <c r="E104" s="452"/>
      <c r="G104" s="448" t="s">
        <v>657</v>
      </c>
      <c r="H104" s="1"/>
      <c r="X104" s="2"/>
      <c r="Y104" s="2"/>
      <c r="Z104" s="2"/>
      <c r="AA104" s="2"/>
      <c r="AB104" s="1"/>
      <c r="AC104" s="1"/>
      <c r="AF104" s="199"/>
      <c r="AG104" s="199"/>
    </row>
    <row r="105" spans="1:33">
      <c r="A105" s="199"/>
      <c r="B105" s="760" t="s">
        <v>300</v>
      </c>
      <c r="C105" s="54" t="s">
        <v>324</v>
      </c>
      <c r="D105" s="451" t="s">
        <v>325</v>
      </c>
      <c r="G105" s="448" t="s">
        <v>658</v>
      </c>
      <c r="H105" s="1"/>
      <c r="X105" s="2"/>
      <c r="Y105" s="2"/>
      <c r="Z105" s="2"/>
      <c r="AA105" s="2"/>
      <c r="AB105" s="1"/>
      <c r="AC105" s="1"/>
      <c r="AF105" s="199"/>
      <c r="AG105" s="199"/>
    </row>
    <row r="106" spans="1:33" ht="15.75" thickBot="1">
      <c r="A106" s="199"/>
      <c r="B106" s="761"/>
      <c r="C106" s="56" t="s">
        <v>328</v>
      </c>
      <c r="D106" s="451" t="s">
        <v>329</v>
      </c>
      <c r="G106" s="453" t="s">
        <v>278</v>
      </c>
      <c r="H106" s="1"/>
      <c r="X106" s="2"/>
      <c r="Y106" s="2"/>
      <c r="Z106" s="2"/>
      <c r="AA106" s="2"/>
      <c r="AB106" s="1"/>
      <c r="AC106" s="1"/>
      <c r="AF106" s="199"/>
      <c r="AG106" s="199"/>
    </row>
    <row r="107" spans="1:33">
      <c r="A107" s="199"/>
      <c r="B107" s="195" t="s">
        <v>307</v>
      </c>
      <c r="C107" s="39" t="s">
        <v>331</v>
      </c>
      <c r="D107" s="451" t="s">
        <v>332</v>
      </c>
      <c r="H107" s="1"/>
      <c r="X107" s="2"/>
      <c r="Y107" s="2"/>
      <c r="Z107" s="2"/>
      <c r="AB107" s="1"/>
      <c r="AC107" s="1"/>
      <c r="AE107" s="199"/>
      <c r="AF107" s="199"/>
    </row>
    <row r="108" spans="1:33">
      <c r="A108" s="199"/>
      <c r="B108" s="196"/>
      <c r="C108" s="66" t="s">
        <v>278</v>
      </c>
      <c r="D108" s="451" t="s">
        <v>334</v>
      </c>
      <c r="H108" s="1"/>
      <c r="X108" s="2"/>
      <c r="Y108" s="2"/>
      <c r="Z108" s="2"/>
      <c r="AB108" s="1"/>
      <c r="AC108" s="1"/>
      <c r="AE108" s="199"/>
      <c r="AF108" s="199"/>
    </row>
    <row r="109" spans="1:33" ht="15.75" thickBot="1">
      <c r="A109" s="199"/>
      <c r="B109" s="196"/>
      <c r="C109" s="66" t="s">
        <v>336</v>
      </c>
      <c r="D109" s="454" t="s">
        <v>337</v>
      </c>
      <c r="H109" s="1"/>
      <c r="X109" s="2"/>
      <c r="Y109" s="2"/>
      <c r="Z109" s="2"/>
      <c r="AB109" s="1"/>
      <c r="AC109" s="1"/>
      <c r="AE109" s="199"/>
      <c r="AF109" s="199"/>
    </row>
    <row r="110" spans="1:33">
      <c r="A110" s="199"/>
      <c r="B110" s="196"/>
      <c r="C110" s="66" t="s">
        <v>338</v>
      </c>
      <c r="D110" s="455"/>
      <c r="H110" s="1"/>
      <c r="X110" s="2"/>
      <c r="Y110" s="2"/>
      <c r="Z110" s="2"/>
      <c r="AB110" s="1"/>
      <c r="AC110" s="1"/>
      <c r="AE110" s="199"/>
      <c r="AF110" s="199"/>
    </row>
    <row r="111" spans="1:33" ht="15.75" thickBot="1">
      <c r="A111" s="199"/>
      <c r="B111" s="197"/>
      <c r="C111" s="72" t="s">
        <v>343</v>
      </c>
      <c r="D111" s="455"/>
      <c r="H111" s="1"/>
      <c r="X111" s="2"/>
      <c r="Y111" s="2"/>
      <c r="Z111" s="2"/>
      <c r="AB111" s="1"/>
      <c r="AC111" s="1"/>
      <c r="AE111" s="199"/>
      <c r="AF111" s="199"/>
    </row>
    <row r="112" spans="1:33" ht="15.75" thickBot="1">
      <c r="A112" s="199"/>
      <c r="B112" s="48" t="s">
        <v>313</v>
      </c>
      <c r="C112" s="74" t="s">
        <v>313</v>
      </c>
      <c r="D112" s="455"/>
      <c r="H112" s="1"/>
      <c r="X112" s="2"/>
      <c r="Y112" s="2"/>
      <c r="Z112" s="2"/>
      <c r="AB112" s="1"/>
      <c r="AC112" s="1"/>
      <c r="AE112" s="199"/>
      <c r="AF112" s="199"/>
    </row>
    <row r="113" spans="1:32">
      <c r="A113" s="199"/>
      <c r="B113" s="82" t="s">
        <v>318</v>
      </c>
      <c r="C113" s="54" t="s">
        <v>349</v>
      </c>
      <c r="D113" s="455"/>
      <c r="H113" s="1"/>
      <c r="X113" s="2"/>
      <c r="Y113" s="2"/>
      <c r="Z113" s="2"/>
      <c r="AB113" s="1"/>
      <c r="AC113" s="1"/>
      <c r="AE113" s="199"/>
      <c r="AF113" s="199"/>
    </row>
    <row r="114" spans="1:32">
      <c r="A114" s="199"/>
      <c r="B114" s="87"/>
      <c r="C114" s="66" t="s">
        <v>353</v>
      </c>
      <c r="D114" s="455"/>
      <c r="H114" s="1"/>
      <c r="X114" s="2"/>
      <c r="Y114" s="2"/>
      <c r="Z114" s="2"/>
      <c r="AB114" s="1"/>
      <c r="AC114" s="1"/>
      <c r="AE114" s="199"/>
      <c r="AF114" s="199"/>
    </row>
    <row r="115" spans="1:32">
      <c r="A115" s="199"/>
      <c r="B115" s="87"/>
      <c r="C115" s="66" t="s">
        <v>355</v>
      </c>
      <c r="D115" s="455"/>
      <c r="H115" s="1"/>
      <c r="X115" s="2"/>
      <c r="Y115" s="2"/>
      <c r="Z115" s="2"/>
      <c r="AB115" s="1"/>
      <c r="AC115" s="1"/>
      <c r="AE115" s="199"/>
      <c r="AF115" s="199"/>
    </row>
    <row r="116" spans="1:32" ht="15.75" thickBot="1">
      <c r="A116" s="199"/>
      <c r="B116" s="87"/>
      <c r="C116" s="72" t="s">
        <v>357</v>
      </c>
      <c r="D116" s="455"/>
      <c r="H116" s="1"/>
      <c r="X116" s="2"/>
      <c r="Y116" s="2"/>
      <c r="Z116" s="2"/>
      <c r="AB116" s="1"/>
      <c r="AC116" s="1"/>
      <c r="AE116" s="199"/>
      <c r="AF116" s="199"/>
    </row>
    <row r="117" spans="1:32">
      <c r="A117" s="199"/>
      <c r="B117" s="89" t="s">
        <v>319</v>
      </c>
      <c r="C117" s="199"/>
      <c r="D117" s="455"/>
      <c r="H117" s="1"/>
      <c r="X117" s="2"/>
      <c r="Y117" s="2"/>
      <c r="Z117" s="2"/>
      <c r="AB117" s="1"/>
      <c r="AC117" s="1"/>
      <c r="AE117" s="199"/>
      <c r="AF117" s="199"/>
    </row>
    <row r="118" spans="1:32">
      <c r="A118" s="199"/>
      <c r="B118" s="90" t="s">
        <v>322</v>
      </c>
      <c r="C118" s="199"/>
      <c r="D118" s="455"/>
      <c r="H118" s="1"/>
      <c r="X118" s="2"/>
      <c r="Y118" s="2"/>
      <c r="Z118" s="2"/>
      <c r="AB118" s="1"/>
      <c r="AC118" s="1"/>
      <c r="AE118" s="199"/>
      <c r="AF118" s="199"/>
    </row>
    <row r="119" spans="1:32">
      <c r="A119" s="199"/>
      <c r="B119" s="91" t="s">
        <v>325</v>
      </c>
      <c r="C119" s="199"/>
      <c r="D119" s="199"/>
      <c r="H119" s="1"/>
      <c r="X119" s="2"/>
      <c r="Y119" s="2"/>
      <c r="Z119" s="2"/>
      <c r="AB119" s="1"/>
      <c r="AC119" s="1"/>
      <c r="AE119" s="199"/>
      <c r="AF119" s="199"/>
    </row>
    <row r="120" spans="1:32">
      <c r="A120" s="199"/>
      <c r="B120" s="91" t="s">
        <v>329</v>
      </c>
      <c r="C120" s="199"/>
      <c r="D120" s="199"/>
      <c r="H120" s="1"/>
      <c r="X120" s="2"/>
      <c r="Y120" s="2"/>
      <c r="Z120" s="2"/>
      <c r="AB120" s="1"/>
      <c r="AC120" s="1"/>
      <c r="AE120" s="199"/>
      <c r="AF120" s="199"/>
    </row>
    <row r="121" spans="1:32">
      <c r="A121" s="199"/>
      <c r="B121" s="91" t="s">
        <v>332</v>
      </c>
      <c r="C121" s="199"/>
      <c r="D121" s="199"/>
      <c r="H121" s="1"/>
      <c r="X121" s="2"/>
      <c r="Y121" s="2"/>
      <c r="Z121" s="2"/>
      <c r="AB121" s="1"/>
      <c r="AC121" s="1"/>
      <c r="AE121" s="199"/>
      <c r="AF121" s="199"/>
    </row>
    <row r="122" spans="1:32">
      <c r="A122" s="199"/>
      <c r="B122" s="91" t="s">
        <v>334</v>
      </c>
      <c r="C122" s="199"/>
      <c r="D122" s="199"/>
      <c r="H122" s="1"/>
      <c r="X122" s="2"/>
      <c r="Y122" s="2"/>
      <c r="Z122" s="2"/>
      <c r="AB122" s="1"/>
      <c r="AC122" s="1"/>
      <c r="AE122" s="199"/>
      <c r="AF122" s="199"/>
    </row>
    <row r="123" spans="1:32" ht="15.75" thickBot="1">
      <c r="A123" s="199"/>
      <c r="B123" s="92" t="s">
        <v>337</v>
      </c>
      <c r="C123" s="199"/>
      <c r="D123" s="199"/>
      <c r="H123" s="1"/>
      <c r="X123" s="2"/>
      <c r="Y123" s="2"/>
      <c r="Z123" s="2"/>
      <c r="AB123" s="1"/>
      <c r="AC123" s="1"/>
      <c r="AE123" s="199"/>
      <c r="AF123" s="199"/>
    </row>
    <row r="124" spans="1:32">
      <c r="A124" s="199"/>
      <c r="C124" s="199"/>
      <c r="E124" s="199"/>
      <c r="X124" s="2"/>
      <c r="Y124" s="2"/>
      <c r="Z124" s="2"/>
      <c r="AB124" s="1"/>
      <c r="AC124" s="1"/>
      <c r="AE124" s="199"/>
      <c r="AF124" s="199"/>
    </row>
    <row r="125" spans="1:32">
      <c r="A125" s="199"/>
      <c r="C125" s="199"/>
      <c r="E125" s="199"/>
      <c r="X125" s="2"/>
      <c r="Y125" s="2"/>
      <c r="Z125" s="2"/>
      <c r="AB125" s="1"/>
      <c r="AC125" s="1"/>
      <c r="AE125" s="199"/>
      <c r="AF125" s="199"/>
    </row>
    <row r="126" spans="1:32">
      <c r="A126" s="199"/>
      <c r="C126" s="199"/>
      <c r="E126" s="199"/>
      <c r="X126" s="2"/>
      <c r="Y126" s="2"/>
      <c r="Z126" s="2"/>
      <c r="AB126" s="1"/>
      <c r="AC126" s="1"/>
      <c r="AE126" s="199"/>
      <c r="AF126" s="199"/>
    </row>
    <row r="127" spans="1:32">
      <c r="A127" s="199"/>
      <c r="C127" s="199"/>
      <c r="E127" s="199"/>
      <c r="X127" s="2"/>
      <c r="Y127" s="2"/>
      <c r="Z127" s="2"/>
      <c r="AB127" s="1"/>
      <c r="AC127" s="1"/>
      <c r="AE127" s="199"/>
      <c r="AF127" s="199"/>
    </row>
    <row r="128" spans="1:32">
      <c r="A128" s="199"/>
      <c r="C128" s="199"/>
      <c r="E128" s="199"/>
      <c r="X128" s="2"/>
      <c r="Y128" s="2"/>
      <c r="Z128" s="2"/>
      <c r="AB128" s="1"/>
      <c r="AC128" s="1"/>
      <c r="AE128" s="199"/>
      <c r="AF128" s="199"/>
    </row>
    <row r="129" spans="1:32">
      <c r="A129" s="199"/>
      <c r="C129" s="199"/>
      <c r="E129" s="199"/>
      <c r="X129" s="2"/>
      <c r="Y129" s="2"/>
      <c r="Z129" s="2"/>
      <c r="AB129" s="1"/>
      <c r="AC129" s="1"/>
      <c r="AE129" s="199"/>
      <c r="AF129" s="199"/>
    </row>
    <row r="130" spans="1:32" ht="15.75" thickBot="1">
      <c r="A130" s="199"/>
      <c r="C130" s="199"/>
      <c r="E130" s="199"/>
    </row>
    <row r="131" spans="1:32" ht="15.75" thickBot="1">
      <c r="A131" s="199"/>
      <c r="B131" s="99" t="s">
        <v>367</v>
      </c>
      <c r="C131" s="456" t="e">
        <f>IF(dms_FifthFeeder_flag_NSP="NO","This NSP has only 4 feeder categories","This NSP has 5 feeder categories")</f>
        <v>#NAME?</v>
      </c>
      <c r="D131" s="100"/>
      <c r="E131" s="101"/>
      <c r="F131" s="102"/>
      <c r="G131" s="101"/>
      <c r="H131" s="101"/>
      <c r="I131" s="103"/>
      <c r="J131" s="104"/>
      <c r="L131"/>
      <c r="M131"/>
      <c r="O131" s="105" t="s">
        <v>368</v>
      </c>
      <c r="P131" s="106"/>
      <c r="Q131" s="106"/>
      <c r="R131" s="107"/>
      <c r="S131" s="108"/>
    </row>
    <row r="132" spans="1:32" ht="26.25" thickBot="1">
      <c r="A132" s="199"/>
      <c r="B132" s="109" t="s">
        <v>369</v>
      </c>
      <c r="C132" s="110" t="s">
        <v>370</v>
      </c>
      <c r="D132" s="111" t="s">
        <v>371</v>
      </c>
      <c r="E132" s="110" t="s">
        <v>372</v>
      </c>
      <c r="F132" s="112" t="s">
        <v>373</v>
      </c>
      <c r="G132" s="113"/>
      <c r="H132" s="114" t="s">
        <v>374</v>
      </c>
      <c r="I132" s="114"/>
      <c r="J132" s="115" t="s">
        <v>375</v>
      </c>
      <c r="L132" s="457" t="s">
        <v>659</v>
      </c>
      <c r="M132" s="458" t="s">
        <v>660</v>
      </c>
      <c r="O132" s="116" t="s">
        <v>376</v>
      </c>
      <c r="P132" s="117" t="s">
        <v>377</v>
      </c>
      <c r="Q132" s="118" t="s">
        <v>378</v>
      </c>
      <c r="R132" s="119" t="s">
        <v>379</v>
      </c>
      <c r="S132" s="120" t="s">
        <v>380</v>
      </c>
    </row>
    <row r="133" spans="1:32">
      <c r="A133" s="199"/>
      <c r="B133" s="121">
        <v>1</v>
      </c>
      <c r="C133" s="122" t="s">
        <v>381</v>
      </c>
      <c r="D133" s="123">
        <v>1</v>
      </c>
      <c r="E133" s="122" t="s">
        <v>382</v>
      </c>
      <c r="F133" s="124" t="e">
        <f>FRCP_y1</f>
        <v>#NAME?</v>
      </c>
      <c r="G133" s="125" t="s">
        <v>381</v>
      </c>
      <c r="H133" s="126" t="e">
        <f>IF(dms_RPT="financial",VALUE(LEFT(dms_FRCP_y1,4)-1)&amp;"-"&amp;TEXT(VALUE(MID(dms_FRCP_y1,3,2)),"00"),VALUE(LEFT(dms_FRCP_y1,4)-1))</f>
        <v>#NAME?</v>
      </c>
      <c r="I133" s="127" t="s">
        <v>383</v>
      </c>
      <c r="J133" s="128">
        <v>1</v>
      </c>
      <c r="L133" s="177" t="s">
        <v>531</v>
      </c>
      <c r="M133" s="178" t="s">
        <v>532</v>
      </c>
      <c r="O133" s="129" t="e">
        <f>CRY</f>
        <v>#NAME?</v>
      </c>
      <c r="P133" s="130" t="e">
        <f>VALUE(LEFT(CRY,4))&amp;"-"&amp;TEXT(MID(CRY,3,2)+1,"00")</f>
        <v>#NAME?</v>
      </c>
      <c r="Q133" s="131" t="s">
        <v>384</v>
      </c>
      <c r="R133" s="132" t="e">
        <f>VALUE(LEFT(CRY,4)+1)</f>
        <v>#NAME?</v>
      </c>
      <c r="S133" s="133" t="s">
        <v>385</v>
      </c>
    </row>
    <row r="134" spans="1:32">
      <c r="A134" s="199"/>
      <c r="B134" s="134">
        <v>2</v>
      </c>
      <c r="C134" s="135" t="s">
        <v>386</v>
      </c>
      <c r="D134" s="136">
        <v>2</v>
      </c>
      <c r="E134" s="135" t="s">
        <v>387</v>
      </c>
      <c r="F134" s="137" t="e">
        <f>IF(dms_RPT="financial",VALUE(LEFT(dms_FRCP_y1,4)+1)&amp;"-"&amp;TEXT(VALUE(RIGHT(dms_FRCP_y1,2)+1),"00"),VALUE(LEFT(dms_FRCP_y1,4)+1))</f>
        <v>#NAME?</v>
      </c>
      <c r="G134" s="138" t="s">
        <v>386</v>
      </c>
      <c r="H134" s="139" t="e">
        <f>IF(dms_RPT="financial",VALUE(LEFT(dms_CRCP_yZ,4)-1)&amp;"-"&amp;TEXT(VALUE(MID(dms_CRCP_yZ,3,2)),"00"),VALUE(LEFT(dms_CRCP_yZ,4)-1))</f>
        <v>#NAME?</v>
      </c>
      <c r="I134" s="140" t="s">
        <v>388</v>
      </c>
      <c r="J134" s="141">
        <v>2</v>
      </c>
      <c r="L134" s="179" t="s">
        <v>471</v>
      </c>
      <c r="M134" s="180" t="s">
        <v>537</v>
      </c>
      <c r="O134" s="459"/>
      <c r="P134" s="142" t="e">
        <f>VALUE(LEFT(dms_CRYf_y1,4)+1)&amp;"-"&amp;TEXT(MID(dms_CRYf_y1,3,2)+2,"00")</f>
        <v>#NAME?</v>
      </c>
      <c r="Q134" s="143" t="s">
        <v>389</v>
      </c>
      <c r="R134" s="132" t="e">
        <f>VALUE(LEFT(dms_CRYc_y1,4)+1)</f>
        <v>#NAME?</v>
      </c>
      <c r="S134" s="133" t="s">
        <v>390</v>
      </c>
    </row>
    <row r="135" spans="1:32">
      <c r="A135" s="199"/>
      <c r="B135" s="134">
        <v>3</v>
      </c>
      <c r="C135" s="135" t="s">
        <v>391</v>
      </c>
      <c r="D135" s="136">
        <v>3</v>
      </c>
      <c r="E135" s="135" t="s">
        <v>392</v>
      </c>
      <c r="F135" s="137" t="e">
        <f>IF(dms_RPT="financial",VALUE(LEFT(dms_FRCP_y2,4)+1)&amp;"-"&amp;TEXT(VALUE(RIGHT(dms_FRCP_y2,2)+1),"00"),VALUE(LEFT(dms_FRCP_y2,4)+1))</f>
        <v>#NAME?</v>
      </c>
      <c r="G135" s="138" t="s">
        <v>391</v>
      </c>
      <c r="H135" s="139" t="e">
        <f>IF(dms_RPT="financial",VALUE(LEFT(dms_CRCP_yY,4)-1)&amp;"-"&amp;TEXT(VALUE(MID(dms_CRCP_yY,3,2)),"00"),VALUE(LEFT(dms_CRCP_yY,4)-1))</f>
        <v>#NAME?</v>
      </c>
      <c r="I135" s="140" t="s">
        <v>393</v>
      </c>
      <c r="J135" s="141">
        <v>3</v>
      </c>
      <c r="L135" s="179" t="s">
        <v>478</v>
      </c>
      <c r="M135" s="180" t="s">
        <v>479</v>
      </c>
      <c r="O135" s="144"/>
      <c r="P135" s="142" t="e">
        <f>VALUE(LEFT(dms_CRYf_y2,4)+1)&amp;"-"&amp;TEXT(MID(dms_CRYf_y2,3,2)+2,"00")</f>
        <v>#NAME?</v>
      </c>
      <c r="Q135" s="143" t="s">
        <v>394</v>
      </c>
      <c r="R135" s="132" t="e">
        <f>VALUE(LEFT(dms_CRYc_y2,4)+1)</f>
        <v>#NAME?</v>
      </c>
      <c r="S135" s="133" t="s">
        <v>395</v>
      </c>
    </row>
    <row r="136" spans="1:32">
      <c r="A136" s="199"/>
      <c r="B136" s="134">
        <v>4</v>
      </c>
      <c r="C136" s="135" t="s">
        <v>396</v>
      </c>
      <c r="D136" s="136">
        <v>4</v>
      </c>
      <c r="E136" s="135" t="s">
        <v>397</v>
      </c>
      <c r="F136" s="137" t="e">
        <f>IF(dms_RPT="financial",VALUE(LEFT(dms_FRCP_y3,4)+1)&amp;"-"&amp;TEXT(VALUE(RIGHT(dms_FRCP_y3,2)+1),"00"),VALUE(LEFT(dms_FRCP_y3,4)+1))</f>
        <v>#NAME?</v>
      </c>
      <c r="G136" s="138" t="s">
        <v>396</v>
      </c>
      <c r="H136" s="139" t="e">
        <f>IF(dms_RPT="financial",VALUE(LEFT(dms_CRCP_yX,4)-1)&amp;"-"&amp;TEXT(VALUE(MID(dms_CRCP_yX,3,2)),"00"),VALUE(LEFT(dms_CRCP_yX,4)-1))</f>
        <v>#NAME?</v>
      </c>
      <c r="I136" s="140" t="s">
        <v>398</v>
      </c>
      <c r="J136" s="141">
        <v>4</v>
      </c>
      <c r="L136" s="179" t="s">
        <v>486</v>
      </c>
      <c r="M136" s="180" t="s">
        <v>487</v>
      </c>
      <c r="O136" s="144"/>
      <c r="P136" s="142" t="e">
        <f>VALUE(LEFT(dms_CRYf_y3,4)+1)&amp;"-"&amp;TEXT(MID(dms_CRYf_y3,3,2)+2,"00")</f>
        <v>#NAME?</v>
      </c>
      <c r="Q136" s="143" t="s">
        <v>399</v>
      </c>
      <c r="R136" s="132" t="e">
        <f>VALUE(LEFT(dms_CRYc_y3,4)+1)</f>
        <v>#NAME?</v>
      </c>
      <c r="S136" s="133" t="s">
        <v>400</v>
      </c>
    </row>
    <row r="137" spans="1:32">
      <c r="A137" s="199"/>
      <c r="B137" s="134">
        <v>5</v>
      </c>
      <c r="C137" s="135" t="s">
        <v>401</v>
      </c>
      <c r="D137" s="136">
        <v>5</v>
      </c>
      <c r="E137" s="135" t="s">
        <v>402</v>
      </c>
      <c r="F137" s="137" t="e">
        <f>IF(dms_RPT="financial",VALUE(LEFT(dms_FRCP_y4,4)+1)&amp;"-"&amp;TEXT(VALUE(RIGHT(dms_FRCP_y4,2)+1),"00"),VALUE(LEFT(dms_FRCP_y4,4)+1))</f>
        <v>#NAME?</v>
      </c>
      <c r="G137" s="138" t="s">
        <v>401</v>
      </c>
      <c r="H137" s="139" t="e">
        <f>IF(dms_RPT="financial",VALUE(LEFT(dms_CRCP_yW,4)-1)&amp;"-"&amp;TEXT(VALUE(MID(dms_CRCP_yW,3,2)),"00"),VALUE(LEFT(dms_CRCP_yW,4)-1))</f>
        <v>#NAME?</v>
      </c>
      <c r="I137" s="140" t="s">
        <v>403</v>
      </c>
      <c r="J137" s="141">
        <v>5</v>
      </c>
      <c r="L137" s="179" t="s">
        <v>492</v>
      </c>
      <c r="M137" s="180">
        <v>2010</v>
      </c>
      <c r="O137" s="144"/>
      <c r="P137" s="142" t="e">
        <f>VALUE(LEFT(dms_CRYf_y4,4)+1)&amp;"-"&amp;TEXT(MID(dms_CRYf_y4,3,2)+2,"00")</f>
        <v>#NAME?</v>
      </c>
      <c r="Q137" s="143" t="s">
        <v>404</v>
      </c>
      <c r="R137" s="132" t="e">
        <f>VALUE(LEFT(dms_CRYc_y4,4)+1)</f>
        <v>#NAME?</v>
      </c>
      <c r="S137" s="133" t="s">
        <v>405</v>
      </c>
    </row>
    <row r="138" spans="1:32">
      <c r="A138" s="199"/>
      <c r="B138" s="134">
        <v>6</v>
      </c>
      <c r="C138" s="135" t="s">
        <v>406</v>
      </c>
      <c r="D138" s="136">
        <v>6</v>
      </c>
      <c r="E138" s="135" t="s">
        <v>407</v>
      </c>
      <c r="F138" s="137" t="e">
        <f>IF(dms_RPT="financial",VALUE(LEFT(dms_FRCP_y5,4)+1)&amp;"-"&amp;TEXT(VALUE(RIGHT(dms_FRCP_y5,2)+1),"00"),VALUE(LEFT(dms_FRCP_y5,4)+1))</f>
        <v>#NAME?</v>
      </c>
      <c r="G138" s="138" t="s">
        <v>406</v>
      </c>
      <c r="H138" s="139" t="e">
        <f>IF(dms_RPT="financial",VALUE(LEFT(dms_CRCP_yV,4)-1)&amp;"-"&amp;TEXT(VALUE(MID(dms_CRCP_yV,3,2)),"00"),VALUE(LEFT(dms_CRCP_yV,4)-1))</f>
        <v>#NAME?</v>
      </c>
      <c r="I138" s="140" t="s">
        <v>408</v>
      </c>
      <c r="J138" s="141">
        <v>6</v>
      </c>
      <c r="L138" s="179" t="s">
        <v>497</v>
      </c>
      <c r="M138" s="180">
        <v>2011</v>
      </c>
      <c r="O138" s="144"/>
      <c r="P138" s="142" t="e">
        <f>VALUE(LEFT(dms_CRYf_y5,4)+1)&amp;"-"&amp;TEXT(MID(dms_CRYf_y5,3,2)+2,"00")</f>
        <v>#NAME?</v>
      </c>
      <c r="Q138" s="143" t="s">
        <v>409</v>
      </c>
      <c r="R138" s="132" t="e">
        <f>VALUE(LEFT(dms_CRYc_y5,4)+1)</f>
        <v>#NAME?</v>
      </c>
      <c r="S138" s="133" t="s">
        <v>410</v>
      </c>
    </row>
    <row r="139" spans="1:32">
      <c r="A139" s="199"/>
      <c r="B139" s="134">
        <v>7</v>
      </c>
      <c r="C139" s="135" t="s">
        <v>411</v>
      </c>
      <c r="D139" s="136">
        <v>7</v>
      </c>
      <c r="E139" s="135" t="s">
        <v>412</v>
      </c>
      <c r="F139" s="137" t="e">
        <f>IF(dms_RPT="financial",VALUE(LEFT(dms_FRCP_y6,4)+1)&amp;"-"&amp;TEXT(VALUE(RIGHT(dms_FRCP_y6,2)+1),"00"),VALUE(LEFT(dms_FRCP_y6,4)+1))</f>
        <v>#NAME?</v>
      </c>
      <c r="G139" s="138" t="s">
        <v>411</v>
      </c>
      <c r="H139" s="139" t="e">
        <f>IF(dms_RPT="financial",VALUE(LEFT(dms_CRCP_yU,4)-1)&amp;"-"&amp;TEXT(VALUE(MID(dms_CRCP_yU,3,2)),"00"),VALUE(LEFT(dms_CRCP_yU,4)-1))</f>
        <v>#NAME?</v>
      </c>
      <c r="I139" s="140" t="s">
        <v>413</v>
      </c>
      <c r="J139" s="141">
        <v>7</v>
      </c>
      <c r="L139" s="179" t="s">
        <v>502</v>
      </c>
      <c r="M139" s="180">
        <v>2012</v>
      </c>
      <c r="O139" s="144"/>
      <c r="P139" s="142" t="e">
        <f>VALUE(LEFT(dms_CRYf_y6,4)+1)&amp;"-"&amp;TEXT(MID(dms_CRYf_y6,3,2)+2,"00")</f>
        <v>#NAME?</v>
      </c>
      <c r="Q139" s="143" t="s">
        <v>414</v>
      </c>
      <c r="R139" s="132" t="e">
        <f>VALUE(LEFT(dms_CRYc_y6,4)+1)</f>
        <v>#NAME?</v>
      </c>
      <c r="S139" s="133" t="s">
        <v>415</v>
      </c>
    </row>
    <row r="140" spans="1:32">
      <c r="A140" s="199"/>
      <c r="B140" s="134">
        <v>8</v>
      </c>
      <c r="C140" s="135" t="s">
        <v>416</v>
      </c>
      <c r="D140" s="136">
        <v>8</v>
      </c>
      <c r="E140" s="135" t="s">
        <v>417</v>
      </c>
      <c r="F140" s="137" t="e">
        <f>IF(dms_RPT="financial",VALUE(LEFT(dms_FRCP_y7,4)+1)&amp;"-"&amp;TEXT(VALUE(RIGHT(dms_FRCP_y7,2)+1),"00"),VALUE(LEFT(dms_FRCP_y7,4)+1))</f>
        <v>#NAME?</v>
      </c>
      <c r="G140" s="138" t="s">
        <v>416</v>
      </c>
      <c r="H140" s="139" t="e">
        <f>IF(dms_RPT="financial",VALUE(LEFT(dms_CRCP_yT,4)-1)&amp;"-"&amp;TEXT(VALUE(MID(dms_CRCP_yT,3,2)),"00"),VALUE(LEFT(dms_CRCP_yT,4)-1))</f>
        <v>#NAME?</v>
      </c>
      <c r="I140" s="140" t="s">
        <v>418</v>
      </c>
      <c r="J140" s="141">
        <v>8</v>
      </c>
      <c r="L140" s="179" t="s">
        <v>507</v>
      </c>
      <c r="M140" s="180">
        <v>2013</v>
      </c>
      <c r="O140" s="144"/>
      <c r="P140" s="142" t="e">
        <f>VALUE(LEFT(dms_CRYf_y7,4)+1)&amp;"-"&amp;TEXT(MID(dms_CRYf_y7,3,2)+2,"00")</f>
        <v>#NAME?</v>
      </c>
      <c r="Q140" s="143" t="s">
        <v>419</v>
      </c>
      <c r="R140" s="132" t="e">
        <f>VALUE(LEFT(dms_CRYc_y7,4)+1)</f>
        <v>#NAME?</v>
      </c>
      <c r="S140" s="133" t="s">
        <v>420</v>
      </c>
    </row>
    <row r="141" spans="1:32">
      <c r="A141" s="199"/>
      <c r="B141" s="134">
        <v>9</v>
      </c>
      <c r="C141" s="135" t="s">
        <v>421</v>
      </c>
      <c r="D141" s="136">
        <v>9</v>
      </c>
      <c r="E141" s="135" t="s">
        <v>422</v>
      </c>
      <c r="F141" s="137" t="e">
        <f>IF(dms_RPT="financial",VALUE(LEFT(dms_FRCP_y8,4)+1)&amp;"-"&amp;TEXT(VALUE(RIGHT(dms_FRCP_y8,2)+1),"00"),VALUE(LEFT(dms_FRCP_y8,4)+1))</f>
        <v>#NAME?</v>
      </c>
      <c r="G141" s="138" t="s">
        <v>421</v>
      </c>
      <c r="H141" s="139" t="e">
        <f>IF(dms_RPT="financial",VALUE(LEFT(dms_CRCP_yS,4)-1)&amp;"-"&amp;TEXT(VALUE(MID(dms_CRCP_yS,3,2)),"00"),VALUE(LEFT(dms_CRCP_yS,4)-1))</f>
        <v>#NAME?</v>
      </c>
      <c r="I141" s="140" t="s">
        <v>423</v>
      </c>
      <c r="J141" s="141">
        <v>9</v>
      </c>
      <c r="L141" s="179" t="s">
        <v>512</v>
      </c>
      <c r="M141" s="180">
        <v>2014</v>
      </c>
      <c r="O141" s="144"/>
      <c r="P141" s="142" t="e">
        <f>VALUE(LEFT(dms_CRYf_y8,4)+1)&amp;"-"&amp;TEXT(MID(dms_CRYf_y8,3,2)+2,"00")</f>
        <v>#NAME?</v>
      </c>
      <c r="Q141" s="143" t="s">
        <v>424</v>
      </c>
      <c r="R141" s="132" t="e">
        <f>VALUE(LEFT(dms_CRYc_y8,4)+1)</f>
        <v>#NAME?</v>
      </c>
      <c r="S141" s="133" t="s">
        <v>425</v>
      </c>
    </row>
    <row r="142" spans="1:32">
      <c r="A142" s="199"/>
      <c r="B142" s="145">
        <v>10</v>
      </c>
      <c r="C142" s="135" t="s">
        <v>426</v>
      </c>
      <c r="D142" s="147">
        <v>10</v>
      </c>
      <c r="E142" s="135" t="s">
        <v>427</v>
      </c>
      <c r="F142" s="137" t="e">
        <f>IF(dms_RPT="financial",VALUE(LEFT(dms_FRCP_y9,4)+1)&amp;"-"&amp;TEXT(VALUE(RIGHT(dms_FRCP_y9,2)+1),"00"),VALUE(LEFT(dms_FRCP_y9,4)+1))</f>
        <v>#NAME?</v>
      </c>
      <c r="G142" s="138" t="s">
        <v>426</v>
      </c>
      <c r="H142" s="139" t="e">
        <f>IF(dms_RPT="financial",VALUE(LEFT(dms_CRCP_yR,4)-1)&amp;"-"&amp;TEXT(VALUE(MID(dms_CRCP_yR,3,2)),"00"),VALUE(LEFT(dms_CRCP_yR,4)-1))</f>
        <v>#NAME?</v>
      </c>
      <c r="I142" s="140" t="s">
        <v>428</v>
      </c>
      <c r="J142" s="141">
        <v>10</v>
      </c>
      <c r="L142" s="179" t="s">
        <v>517</v>
      </c>
      <c r="M142" s="180">
        <v>2015</v>
      </c>
      <c r="O142" s="144"/>
      <c r="P142" s="142" t="e">
        <f>VALUE(LEFT(dms_CRYf_y9,4)+1)&amp;"-"&amp;TEXT(MID(dms_CRYf_y9,3,2)+2,"00")</f>
        <v>#NAME?</v>
      </c>
      <c r="Q142" s="143" t="s">
        <v>429</v>
      </c>
      <c r="R142" s="132" t="e">
        <f>VALUE(LEFT(dms_CRYc_y9,4)+1)</f>
        <v>#NAME?</v>
      </c>
      <c r="S142" s="133" t="s">
        <v>430</v>
      </c>
    </row>
    <row r="143" spans="1:32">
      <c r="A143" s="199"/>
      <c r="B143" s="134">
        <v>11</v>
      </c>
      <c r="C143" s="146" t="s">
        <v>431</v>
      </c>
      <c r="D143" s="136">
        <v>11</v>
      </c>
      <c r="E143" s="146" t="s">
        <v>432</v>
      </c>
      <c r="F143" s="137" t="e">
        <f>IF(dms_RPT="financial",VALUE(LEFT(dms_FRCP_y10,4)+1)&amp;"-"&amp;TEXT(VALUE(RIGHT(dms_FRCP_y10,2)+1),"00"),VALUE(LEFT(dms_FRCP_y10,4)+1))</f>
        <v>#NAME?</v>
      </c>
      <c r="G143" s="138" t="s">
        <v>431</v>
      </c>
      <c r="H143" s="139" t="e">
        <f>IF(dms_RPT="financial",VALUE(LEFT(dms_CRCP_yQ,4)-1)&amp;"-"&amp;TEXT(VALUE(MID(dms_CRCP_yQ,3,2)),"00"),VALUE(LEFT(dms_CRCP_yQ,4)-1))</f>
        <v>#NAME?</v>
      </c>
      <c r="I143" s="140" t="s">
        <v>433</v>
      </c>
      <c r="J143" s="141">
        <v>11</v>
      </c>
      <c r="L143" s="179" t="s">
        <v>522</v>
      </c>
      <c r="M143" s="180">
        <v>2016</v>
      </c>
      <c r="O143" s="144"/>
      <c r="P143" s="142" t="e">
        <f>VALUE(LEFT(dms_CRYf_y10,4)+1)&amp;"-"&amp;TEXT(MID(dms_CRYf_y10,3,2)+2,"00")</f>
        <v>#NAME?</v>
      </c>
      <c r="Q143" s="143" t="s">
        <v>434</v>
      </c>
      <c r="R143" s="132" t="e">
        <f>VALUE(LEFT(dms_CRYc_y10,4)+1)</f>
        <v>#NAME?</v>
      </c>
      <c r="S143" s="133" t="s">
        <v>435</v>
      </c>
    </row>
    <row r="144" spans="1:32">
      <c r="A144" s="199"/>
      <c r="B144" s="134">
        <v>12</v>
      </c>
      <c r="C144" s="146" t="s">
        <v>436</v>
      </c>
      <c r="D144" s="136">
        <v>12</v>
      </c>
      <c r="E144" s="146" t="s">
        <v>437</v>
      </c>
      <c r="F144" s="137" t="e">
        <f>IF(dms_RPT="financial",VALUE(LEFT(dms_FRCP_y11,4)+1)&amp;"-"&amp;TEXT(VALUE(RIGHT(dms_FRCP_y11,2)+1),"00"),VALUE(LEFT(dms_FRCP_y11,4)+1))</f>
        <v>#NAME?</v>
      </c>
      <c r="G144" s="138" t="s">
        <v>436</v>
      </c>
      <c r="H144" s="139" t="e">
        <f>IF(dms_RPT="financial",VALUE(LEFT(dms_CRCP_yP,4)-1)&amp;"-"&amp;TEXT(VALUE(MID(dms_CRCP_yP,3,2)),"00"),VALUE(LEFT(dms_CRCP_yP,4)-1))</f>
        <v>#NAME?</v>
      </c>
      <c r="I144" s="140" t="s">
        <v>438</v>
      </c>
      <c r="J144" s="141">
        <v>12</v>
      </c>
      <c r="L144" s="179" t="s">
        <v>474</v>
      </c>
      <c r="M144" s="180">
        <v>2017</v>
      </c>
      <c r="O144" s="144"/>
      <c r="P144" s="142" t="e">
        <f>VALUE(LEFT(dms_CRYf_y11,4)+1)&amp;"-"&amp;TEXT(MID(dms_CRYf_y11,3,2)+2,"00")</f>
        <v>#NAME?</v>
      </c>
      <c r="Q144" s="143" t="s">
        <v>439</v>
      </c>
      <c r="R144" s="132" t="e">
        <f>VALUE(LEFT(dms_CRYc_y11,4)+1)</f>
        <v>#NAME?</v>
      </c>
      <c r="S144" s="133" t="s">
        <v>440</v>
      </c>
    </row>
    <row r="145" spans="1:21">
      <c r="A145" s="199"/>
      <c r="B145" s="145">
        <v>13</v>
      </c>
      <c r="C145" s="146" t="s">
        <v>441</v>
      </c>
      <c r="D145" s="147">
        <v>13</v>
      </c>
      <c r="E145" s="146" t="s">
        <v>442</v>
      </c>
      <c r="F145" s="137" t="e">
        <f>IF(dms_RPT="financial",VALUE(LEFT(dms_FRCP_y12,4)+1)&amp;"-"&amp;TEXT(VALUE(RIGHT(dms_FRCP_y12,2)+1),"00"),VALUE(LEFT(dms_FRCP_y12,4)+1))</f>
        <v>#NAME?</v>
      </c>
      <c r="G145" s="138" t="s">
        <v>441</v>
      </c>
      <c r="H145" s="139" t="e">
        <f>IF(dms_RPT="financial",VALUE(LEFT(dms_CRCP_yO,4)-1)&amp;"-"&amp;TEXT(VALUE(MID(dms_CRCP_yO,3,2)),"00"),VALUE(LEFT(dms_CRCP_yO,4)-1))</f>
        <v>#NAME?</v>
      </c>
      <c r="I145" s="140" t="s">
        <v>443</v>
      </c>
      <c r="J145" s="141">
        <v>13</v>
      </c>
      <c r="L145" s="179" t="s">
        <v>482</v>
      </c>
      <c r="M145" s="180">
        <v>2018</v>
      </c>
      <c r="O145" s="144"/>
      <c r="P145" s="142" t="e">
        <f>VALUE(LEFT(dms_CRYf_y12,4)+1)&amp;"-"&amp;TEXT(MID(dms_CRYf_y12,3,2)+2,"00")</f>
        <v>#NAME?</v>
      </c>
      <c r="Q145" s="143" t="s">
        <v>444</v>
      </c>
      <c r="R145" s="132" t="e">
        <f>VALUE(LEFT(dms_CRYc_y12,4)+1)</f>
        <v>#NAME?</v>
      </c>
      <c r="S145" s="133" t="s">
        <v>445</v>
      </c>
    </row>
    <row r="146" spans="1:21">
      <c r="A146" s="199"/>
      <c r="B146" s="134">
        <v>14</v>
      </c>
      <c r="C146" s="146" t="s">
        <v>446</v>
      </c>
      <c r="D146" s="136">
        <v>14</v>
      </c>
      <c r="E146" s="146" t="s">
        <v>447</v>
      </c>
      <c r="F146" s="137" t="e">
        <f>IF(dms_RPT="financial",VALUE(LEFT(dms_FRCP_y13,4)+1)&amp;"-"&amp;TEXT(VALUE(RIGHT(dms_FRCP_y13,2)+1),"00"),VALUE(LEFT(dms_FRCP_y13,4)+1))</f>
        <v>#NAME?</v>
      </c>
      <c r="G146" s="138" t="s">
        <v>446</v>
      </c>
      <c r="H146" s="139" t="e">
        <f>IF(dms_RPT="financial",VALUE(LEFT(dms_CRCP_yN,4)-1)&amp;"-"&amp;TEXT(VALUE(MID(dms_CRCP_yN,3,2)),"00"),VALUE(LEFT(dms_CRCP_yN,4)-1))</f>
        <v>#NAME?</v>
      </c>
      <c r="I146" s="140" t="s">
        <v>448</v>
      </c>
      <c r="J146" s="141">
        <v>14</v>
      </c>
      <c r="L146" s="179" t="s">
        <v>490</v>
      </c>
      <c r="M146" s="180">
        <v>2019</v>
      </c>
      <c r="O146" s="144"/>
      <c r="P146" s="142" t="e">
        <f>VALUE(LEFT(dms_CRYf_y13,4)+1)&amp;"-"&amp;TEXT(MID(dms_CRYf_y13,3,2)+2,"00")</f>
        <v>#NAME?</v>
      </c>
      <c r="Q146" s="143" t="s">
        <v>449</v>
      </c>
      <c r="R146" s="132" t="e">
        <f>VALUE(LEFT(dms_CRYc_y13,4)+1)</f>
        <v>#NAME?</v>
      </c>
      <c r="S146" s="133" t="s">
        <v>450</v>
      </c>
      <c r="T146" s="199"/>
      <c r="U146" s="199"/>
    </row>
    <row r="147" spans="1:21">
      <c r="A147" s="199"/>
      <c r="B147" s="134">
        <v>15</v>
      </c>
      <c r="C147" s="146" t="s">
        <v>451</v>
      </c>
      <c r="D147" s="136">
        <v>15</v>
      </c>
      <c r="E147" s="146" t="s">
        <v>452</v>
      </c>
      <c r="F147" s="137" t="e">
        <f>IF(dms_RPT="financial",VALUE(LEFT(dms_FRCP_y14,4)+1)&amp;"-"&amp;TEXT(VALUE(RIGHT(dms_FRCP_y14,2)+1),"00"),VALUE(LEFT(dms_FRCP_y14,4)+1))</f>
        <v>#NAME?</v>
      </c>
      <c r="G147" s="138" t="s">
        <v>451</v>
      </c>
      <c r="H147" s="139" t="e">
        <f>IF(dms_RPT="financial",VALUE(LEFT(dms_CRCP_yM,4)-1)&amp;"-"&amp;TEXT(VALUE(MID(dms_CRCP_yM,3,2)),"00"),VALUE(LEFT(dms_CRCP_yM,4)-1))</f>
        <v>#NAME?</v>
      </c>
      <c r="I147" s="140" t="s">
        <v>453</v>
      </c>
      <c r="J147" s="141">
        <v>15</v>
      </c>
      <c r="K147" s="199"/>
      <c r="L147" s="179" t="s">
        <v>495</v>
      </c>
      <c r="M147" s="180">
        <v>2020</v>
      </c>
      <c r="O147" s="144"/>
      <c r="P147" s="142" t="e">
        <f>VALUE(LEFT(dms_CRYf_y14,4)+1)&amp;"-"&amp;TEXT(MID(dms_CRYf_y14,3,2)+2,"00")</f>
        <v>#NAME?</v>
      </c>
      <c r="Q147" s="143" t="s">
        <v>454</v>
      </c>
      <c r="R147" s="132" t="e">
        <f>VALUE(LEFT(dms_CRYc_y14,4)+1)</f>
        <v>#NAME?</v>
      </c>
      <c r="S147" s="133" t="s">
        <v>455</v>
      </c>
    </row>
    <row r="148" spans="1:21">
      <c r="A148" s="199"/>
      <c r="B148" s="149"/>
      <c r="C148" s="148"/>
      <c r="D148" s="148"/>
      <c r="E148" s="150"/>
      <c r="F148" s="151"/>
      <c r="G148" s="150"/>
      <c r="H148" s="150"/>
      <c r="I148" s="152"/>
      <c r="J148" s="153"/>
      <c r="K148" s="199"/>
      <c r="L148" s="179" t="s">
        <v>500</v>
      </c>
      <c r="M148" s="180">
        <v>2021</v>
      </c>
      <c r="O148" s="144"/>
      <c r="P148" s="142" t="e">
        <f>VALUE(LEFT(dms_CRYf_y15,4)+1)&amp;"-"&amp;TEXT(MID(dms_CRYf_y15,3,2)+2,"00")</f>
        <v>#NAME?</v>
      </c>
      <c r="Q148" s="143" t="s">
        <v>456</v>
      </c>
      <c r="R148" s="132" t="e">
        <f>VALUE(LEFT(dms_CRYc_y15,4)+1)</f>
        <v>#NAME?</v>
      </c>
      <c r="S148" s="133" t="s">
        <v>457</v>
      </c>
    </row>
    <row r="149" spans="1:21" ht="15.75" thickBot="1">
      <c r="A149" s="199"/>
      <c r="B149" s="763" t="s">
        <v>458</v>
      </c>
      <c r="C149" s="764"/>
      <c r="D149" s="764"/>
      <c r="E149" s="764"/>
      <c r="F149" s="765"/>
      <c r="G149" s="765"/>
      <c r="H149" s="765"/>
      <c r="I149" s="765"/>
      <c r="J149" s="153"/>
      <c r="K149" s="150"/>
      <c r="L149" s="179" t="s">
        <v>505</v>
      </c>
      <c r="M149" s="180">
        <v>2022</v>
      </c>
      <c r="O149" s="144"/>
      <c r="P149" s="142" t="e">
        <f>VALUE(LEFT(dms_CRYf_y16,4)+1)&amp;"-"&amp;TEXT(MID(dms_CRYf_y16,3,2)+2,"00")</f>
        <v>#NAME?</v>
      </c>
      <c r="Q149" s="143" t="s">
        <v>459</v>
      </c>
      <c r="R149" s="132" t="e">
        <f>VALUE(LEFT(dms_CRYc_y16,4)+1)</f>
        <v>#NAME?</v>
      </c>
      <c r="S149" s="133" t="s">
        <v>460</v>
      </c>
    </row>
    <row r="150" spans="1:21" ht="30.75" thickBot="1">
      <c r="A150" s="199"/>
      <c r="B150" s="154" t="s">
        <v>461</v>
      </c>
      <c r="C150" s="155" t="s">
        <v>462</v>
      </c>
      <c r="D150" s="155" t="s">
        <v>463</v>
      </c>
      <c r="E150" s="156" t="s">
        <v>464</v>
      </c>
      <c r="F150" s="157" t="s">
        <v>465</v>
      </c>
      <c r="G150" s="158" t="s">
        <v>466</v>
      </c>
      <c r="H150" s="159" t="s">
        <v>467</v>
      </c>
      <c r="I150" s="159" t="s">
        <v>468</v>
      </c>
      <c r="J150" s="153"/>
      <c r="K150" s="199"/>
      <c r="L150" s="179" t="s">
        <v>510</v>
      </c>
      <c r="M150" s="180">
        <v>2023</v>
      </c>
      <c r="O150" s="144"/>
      <c r="P150" s="142" t="e">
        <f>VALUE(LEFT(dms_CRYf_y17,4)+1)&amp;"-"&amp;TEXT(MID(dms_CRYf_y17,3,2)+2,"00")</f>
        <v>#NAME?</v>
      </c>
      <c r="Q150" s="143" t="s">
        <v>469</v>
      </c>
      <c r="R150" s="132" t="e">
        <f>VALUE(LEFT(dms_CRYc_y17,4)+1)</f>
        <v>#NAME?</v>
      </c>
      <c r="S150" s="133" t="s">
        <v>470</v>
      </c>
    </row>
    <row r="151" spans="1:21">
      <c r="A151" s="199"/>
      <c r="B151" s="160" t="s">
        <v>661</v>
      </c>
      <c r="C151" s="161" t="e">
        <f>CRY</f>
        <v>#NAME?</v>
      </c>
      <c r="D151" s="162" t="s">
        <v>532</v>
      </c>
      <c r="E151" s="163" t="s">
        <v>472</v>
      </c>
      <c r="F151" s="164" t="s">
        <v>473</v>
      </c>
      <c r="G151" s="165" t="s">
        <v>497</v>
      </c>
      <c r="H151" s="166">
        <v>2011</v>
      </c>
      <c r="I151" s="167" t="s">
        <v>475</v>
      </c>
      <c r="J151" s="153"/>
      <c r="K151" s="199"/>
      <c r="L151" s="179" t="s">
        <v>515</v>
      </c>
      <c r="M151" s="180">
        <v>2024</v>
      </c>
      <c r="O151" s="144"/>
      <c r="P151" s="142" t="e">
        <f>VALUE(LEFT(dms_CRYf_y18,4)+1)&amp;"-"&amp;TEXT(MID(dms_CRYf_y18,3,2)+2,"00")</f>
        <v>#NAME?</v>
      </c>
      <c r="Q151" s="143" t="s">
        <v>476</v>
      </c>
      <c r="R151" s="132" t="e">
        <f>VALUE(LEFT(dms_CRYc_y18,4)+1)</f>
        <v>#NAME?</v>
      </c>
      <c r="S151" s="133" t="s">
        <v>477</v>
      </c>
    </row>
    <row r="152" spans="1:21" ht="15.75" thickBot="1">
      <c r="A152" s="199"/>
      <c r="B152" s="160" t="s">
        <v>662</v>
      </c>
      <c r="C152" s="161" t="e">
        <f>IF(dms_RPT="financial",VALUE(LEFT(CRY,4)+1)&amp;"-"&amp;TEXT(MID(CRY,3,2)+2,"00"),VALUE(LEFT(CRY,4)+1))</f>
        <v>#NAME?</v>
      </c>
      <c r="D152" s="162" t="s">
        <v>537</v>
      </c>
      <c r="E152" s="163" t="s">
        <v>480</v>
      </c>
      <c r="F152" s="168" t="s">
        <v>481</v>
      </c>
      <c r="G152" s="169" t="s">
        <v>502</v>
      </c>
      <c r="H152" s="166">
        <v>2012</v>
      </c>
      <c r="I152" s="170" t="s">
        <v>483</v>
      </c>
      <c r="J152" s="153"/>
      <c r="K152" s="199"/>
      <c r="L152" s="179" t="s">
        <v>520</v>
      </c>
      <c r="M152" s="180">
        <v>2025</v>
      </c>
      <c r="O152" s="171"/>
      <c r="P152" s="172" t="e">
        <f>VALUE(LEFT(dms_CRYf_y19,4)+1)&amp;"-"&amp;TEXT(MID(dms_CRYf_y19,3,2)+2,"00")</f>
        <v>#NAME?</v>
      </c>
      <c r="Q152" s="173" t="s">
        <v>484</v>
      </c>
      <c r="R152" s="174" t="e">
        <f>VALUE(LEFT(dms_CRYc_y19,4)+1)</f>
        <v>#NAME?</v>
      </c>
      <c r="S152" s="175" t="s">
        <v>485</v>
      </c>
    </row>
    <row r="153" spans="1:21">
      <c r="A153" s="199"/>
      <c r="B153" s="160" t="s">
        <v>663</v>
      </c>
      <c r="C153" s="161" t="e">
        <f>IF(dms_RPT="financial",VALUE(LEFT(dms_fy2,4)+1)&amp;"-"&amp;TEXT(MID(dms_fy2,3,2)+2,"00"),VALUE(LEFT(dms_fy2,4)+1))</f>
        <v>#NAME?</v>
      </c>
      <c r="D153" s="162" t="s">
        <v>479</v>
      </c>
      <c r="E153" s="163" t="s">
        <v>488</v>
      </c>
      <c r="F153" s="176" t="s">
        <v>489</v>
      </c>
      <c r="G153" s="169" t="s">
        <v>507</v>
      </c>
      <c r="H153" s="166">
        <v>2013</v>
      </c>
      <c r="I153" s="167" t="s">
        <v>491</v>
      </c>
      <c r="J153" s="153"/>
      <c r="K153" s="199"/>
      <c r="L153" s="179" t="s">
        <v>525</v>
      </c>
      <c r="M153" s="180">
        <v>2026</v>
      </c>
    </row>
    <row r="154" spans="1:21">
      <c r="A154" s="199"/>
      <c r="B154" s="160" t="s">
        <v>664</v>
      </c>
      <c r="C154" s="161" t="e">
        <f>IF(dms_RPT="financial",VALUE(LEFT(dms_fy3,4)+1)&amp;"-"&amp;TEXT(MID(dms_fy3,3,2)+2,"00"),VALUE(LEFT(dms_fy3,4)+1))</f>
        <v>#NAME?</v>
      </c>
      <c r="D154" s="162" t="s">
        <v>487</v>
      </c>
      <c r="E154" s="163" t="s">
        <v>493</v>
      </c>
      <c r="F154" s="168" t="s">
        <v>494</v>
      </c>
      <c r="G154" s="169" t="s">
        <v>512</v>
      </c>
      <c r="H154" s="166">
        <v>2014</v>
      </c>
      <c r="I154" s="170" t="s">
        <v>496</v>
      </c>
      <c r="J154" s="153"/>
      <c r="K154" s="199"/>
      <c r="L154" s="179" t="s">
        <v>529</v>
      </c>
      <c r="M154" s="180">
        <v>2027</v>
      </c>
    </row>
    <row r="155" spans="1:21">
      <c r="B155" s="160" t="s">
        <v>665</v>
      </c>
      <c r="C155" s="161" t="e">
        <f>IF(dms_RPT="financial",VALUE(LEFT(dms_fy4,4)+1)&amp;"-"&amp;TEXT(MID(dms_fy4,3,2)+2,"00"),VALUE(LEFT(dms_fy4,4)+1))</f>
        <v>#NAME?</v>
      </c>
      <c r="D155" s="162">
        <v>2010</v>
      </c>
      <c r="E155" s="163" t="s">
        <v>498</v>
      </c>
      <c r="F155" s="176" t="s">
        <v>499</v>
      </c>
      <c r="G155" s="169" t="s">
        <v>517</v>
      </c>
      <c r="H155" s="166">
        <v>2015</v>
      </c>
      <c r="I155" s="167" t="s">
        <v>501</v>
      </c>
      <c r="J155" s="153"/>
      <c r="L155" s="179" t="s">
        <v>535</v>
      </c>
      <c r="M155" s="180">
        <v>2028</v>
      </c>
    </row>
    <row r="156" spans="1:21">
      <c r="B156" s="160" t="s">
        <v>666</v>
      </c>
      <c r="C156" s="161" t="e">
        <f>IF(dms_RPT="financial",VALUE(LEFT(dms_fy5,4)+1)&amp;"-"&amp;TEXT(MID(dms_fy5,3,2)+2,"00"),VALUE(LEFT(dms_fy5,4)+1))</f>
        <v>#NAME?</v>
      </c>
      <c r="D156" s="162">
        <v>2011</v>
      </c>
      <c r="E156" s="163" t="s">
        <v>503</v>
      </c>
      <c r="F156" s="168" t="s">
        <v>504</v>
      </c>
      <c r="G156" s="169" t="s">
        <v>522</v>
      </c>
      <c r="H156" s="166">
        <v>2016</v>
      </c>
      <c r="I156" s="170" t="s">
        <v>506</v>
      </c>
      <c r="J156" s="153"/>
      <c r="L156" s="179" t="s">
        <v>540</v>
      </c>
      <c r="M156" s="180">
        <v>2029</v>
      </c>
    </row>
    <row r="157" spans="1:21">
      <c r="B157" s="160" t="s">
        <v>667</v>
      </c>
      <c r="C157" s="161" t="e">
        <f>IF(dms_RPT="financial",VALUE(LEFT(dms_fy6,4)+1)&amp;"-"&amp;TEXT(MID(dms_fy6,3,2)+2,"00"),VALUE(LEFT(dms_fy6,4)+1))</f>
        <v>#NAME?</v>
      </c>
      <c r="D157" s="162">
        <v>2012</v>
      </c>
      <c r="E157" s="163" t="s">
        <v>508</v>
      </c>
      <c r="F157" s="176" t="s">
        <v>509</v>
      </c>
      <c r="G157" s="169" t="s">
        <v>474</v>
      </c>
      <c r="H157" s="166">
        <v>2017</v>
      </c>
      <c r="I157" s="167" t="s">
        <v>511</v>
      </c>
      <c r="J157" s="153"/>
      <c r="L157" s="179" t="s">
        <v>544</v>
      </c>
      <c r="M157" s="180">
        <v>2030</v>
      </c>
    </row>
    <row r="158" spans="1:21">
      <c r="B158" s="160" t="s">
        <v>668</v>
      </c>
      <c r="C158" s="161" t="e">
        <f>IF(dms_RPT="financial",VALUE(LEFT(dms_fy7,4)+1)&amp;"-"&amp;TEXT(MID(dms_fy7,3,2)+2,"00"),VALUE(LEFT(dms_fy7,4)+1))</f>
        <v>#NAME?</v>
      </c>
      <c r="D158" s="162">
        <v>2013</v>
      </c>
      <c r="E158" s="163" t="s">
        <v>513</v>
      </c>
      <c r="F158" s="168" t="s">
        <v>514</v>
      </c>
      <c r="G158" s="169" t="s">
        <v>482</v>
      </c>
      <c r="H158" s="166">
        <v>2018</v>
      </c>
      <c r="I158" s="170" t="s">
        <v>516</v>
      </c>
      <c r="J158" s="153"/>
      <c r="L158" s="179" t="s">
        <v>548</v>
      </c>
      <c r="M158" s="180">
        <v>2031</v>
      </c>
    </row>
    <row r="159" spans="1:21">
      <c r="B159" s="160" t="s">
        <v>669</v>
      </c>
      <c r="C159" s="161" t="e">
        <f>IF(dms_RPT="financial",VALUE(LEFT(dms_fy8,4)+1)&amp;"-"&amp;TEXT(MID(dms_fy8,3,2)+2,"00"),VALUE(LEFT(dms_fy8,4)+1))</f>
        <v>#NAME?</v>
      </c>
      <c r="D159" s="162">
        <v>2014</v>
      </c>
      <c r="E159" s="163" t="s">
        <v>518</v>
      </c>
      <c r="F159" s="176" t="s">
        <v>519</v>
      </c>
      <c r="G159" s="169" t="s">
        <v>490</v>
      </c>
      <c r="H159" s="166">
        <v>2019</v>
      </c>
      <c r="I159" s="167" t="s">
        <v>521</v>
      </c>
      <c r="J159" s="153"/>
      <c r="L159" s="179" t="s">
        <v>555</v>
      </c>
      <c r="M159" s="180">
        <v>2032</v>
      </c>
    </row>
    <row r="160" spans="1:21">
      <c r="B160" s="160" t="s">
        <v>670</v>
      </c>
      <c r="C160" s="161" t="e">
        <f>IF(dms_RPT="financial",VALUE(LEFT(dms_fy9,4)+1)&amp;"-"&amp;TEXT(MID(dms_fy9,3,2)+2,"00"),VALUE(LEFT(dms_fy9,4)+1))</f>
        <v>#NAME?</v>
      </c>
      <c r="D160" s="162">
        <v>2015</v>
      </c>
      <c r="E160" s="163" t="s">
        <v>523</v>
      </c>
      <c r="F160" s="168" t="s">
        <v>524</v>
      </c>
      <c r="G160" s="169" t="s">
        <v>495</v>
      </c>
      <c r="H160" s="166">
        <v>2020</v>
      </c>
      <c r="I160" s="170" t="s">
        <v>526</v>
      </c>
      <c r="J160" s="153"/>
      <c r="L160" s="179" t="s">
        <v>556</v>
      </c>
      <c r="M160" s="180">
        <v>2033</v>
      </c>
    </row>
    <row r="161" spans="1:25">
      <c r="B161" s="160" t="s">
        <v>671</v>
      </c>
      <c r="C161" s="161" t="e">
        <f>IF(dms_RPT="financial",VALUE(LEFT(dms_fy10,4)+1)&amp;"-"&amp;TEXT(MID(dms_fy10,3,2)+2,"00"),VALUE(LEFT(dms_fy10,4)+1))</f>
        <v>#NAME?</v>
      </c>
      <c r="D161" s="162">
        <v>2016</v>
      </c>
      <c r="E161" s="163" t="s">
        <v>527</v>
      </c>
      <c r="F161" s="176" t="s">
        <v>528</v>
      </c>
      <c r="G161" s="169" t="s">
        <v>500</v>
      </c>
      <c r="H161" s="166">
        <v>2021</v>
      </c>
      <c r="I161" s="167" t="s">
        <v>530</v>
      </c>
      <c r="J161" s="153"/>
      <c r="L161" s="179" t="s">
        <v>557</v>
      </c>
      <c r="M161" s="180">
        <v>2034</v>
      </c>
    </row>
    <row r="162" spans="1:25">
      <c r="B162" s="160" t="s">
        <v>672</v>
      </c>
      <c r="C162" s="161" t="e">
        <f>IF(dms_RPT="financial",VALUE(LEFT(dms_fy11,4)+1)&amp;"-"&amp;TEXT(MID(dms_fy11,3,2)+2,"00"),VALUE(LEFT(dms_fy11,4)+1))</f>
        <v>#NAME?</v>
      </c>
      <c r="D162" s="162">
        <v>2017</v>
      </c>
      <c r="E162" s="163" t="s">
        <v>533</v>
      </c>
      <c r="F162" s="168" t="s">
        <v>534</v>
      </c>
      <c r="G162" s="169" t="s">
        <v>505</v>
      </c>
      <c r="H162" s="166">
        <v>2022</v>
      </c>
      <c r="I162" s="170" t="s">
        <v>536</v>
      </c>
      <c r="J162" s="153"/>
      <c r="L162" s="179" t="s">
        <v>558</v>
      </c>
      <c r="M162" s="180">
        <v>2035</v>
      </c>
    </row>
    <row r="163" spans="1:25" ht="15.75" thickBot="1">
      <c r="B163" s="160" t="s">
        <v>673</v>
      </c>
      <c r="C163" s="161" t="e">
        <f>IF(dms_RPT="financial",VALUE(LEFT(dms_fy12,4)+1)&amp;"-"&amp;TEXT(MID(dms_fy12,3,2)+2,"00"),VALUE(LEFT(dms_fy12,4)+1))</f>
        <v>#NAME?</v>
      </c>
      <c r="D163" s="162">
        <v>2018</v>
      </c>
      <c r="E163" s="163" t="s">
        <v>538</v>
      </c>
      <c r="F163" s="176" t="s">
        <v>539</v>
      </c>
      <c r="G163" s="169" t="s">
        <v>510</v>
      </c>
      <c r="H163" s="166">
        <v>2023</v>
      </c>
      <c r="I163" s="167" t="s">
        <v>541</v>
      </c>
      <c r="J163" s="153"/>
      <c r="L163" s="190" t="s">
        <v>559</v>
      </c>
      <c r="M163" s="191">
        <v>2036</v>
      </c>
      <c r="X163"/>
      <c r="Y163"/>
    </row>
    <row r="164" spans="1:25">
      <c r="B164" s="160" t="s">
        <v>674</v>
      </c>
      <c r="C164" s="161" t="e">
        <f>IF(dms_RPT="financial",VALUE(LEFT(dms_fy13,4)+1)&amp;"-"&amp;TEXT(MID(dms_fy13,3,2)+2,"00"),VALUE(LEFT(dms_fy13,4)+1))</f>
        <v>#NAME?</v>
      </c>
      <c r="D164" s="162">
        <v>2019</v>
      </c>
      <c r="E164" s="163" t="s">
        <v>542</v>
      </c>
      <c r="F164" s="168" t="s">
        <v>543</v>
      </c>
      <c r="G164" s="169" t="s">
        <v>515</v>
      </c>
      <c r="H164" s="166">
        <v>2024</v>
      </c>
      <c r="I164" s="170" t="s">
        <v>545</v>
      </c>
      <c r="J164" s="153"/>
      <c r="X164"/>
      <c r="Y164"/>
    </row>
    <row r="165" spans="1:25" ht="28.5" customHeight="1" thickBot="1">
      <c r="B165" s="160" t="s">
        <v>675</v>
      </c>
      <c r="C165" s="161" t="e">
        <f>IF(dms_RPT="financial",VALUE(LEFT(dms_fy14,4)+1)&amp;"-"&amp;TEXT(MID(dms_fy14,3,2)+2,"00"),VALUE(LEFT(dms_fy14,4)+1))</f>
        <v>#NAME?</v>
      </c>
      <c r="D165" s="162">
        <v>2020</v>
      </c>
      <c r="E165" s="163" t="s">
        <v>546</v>
      </c>
      <c r="F165" s="181" t="s">
        <v>547</v>
      </c>
      <c r="G165" s="182" t="s">
        <v>520</v>
      </c>
      <c r="H165" s="183">
        <v>2025</v>
      </c>
      <c r="I165" s="184" t="s">
        <v>549</v>
      </c>
      <c r="J165" s="153"/>
      <c r="X165"/>
      <c r="Y165"/>
    </row>
    <row r="166" spans="1:25">
      <c r="B166" s="160" t="s">
        <v>676</v>
      </c>
      <c r="C166" s="161" t="e">
        <f>IF(dms_RPT="financial",VALUE(LEFT(dms_fy15,4)+1)&amp;"-"&amp;TEXT(MID(dms_fy15,3,2)+2,"00"),VALUE(LEFT(dms_fy15,4)+1))</f>
        <v>#NAME?</v>
      </c>
      <c r="D166" s="162">
        <v>2021</v>
      </c>
      <c r="E166" s="163" t="s">
        <v>550</v>
      </c>
      <c r="F166" s="460"/>
      <c r="G166" s="460"/>
      <c r="H166" s="460"/>
      <c r="I166" s="460"/>
      <c r="J166" s="153"/>
      <c r="X166"/>
      <c r="Y166"/>
    </row>
    <row r="167" spans="1:25" ht="15.75" customHeight="1">
      <c r="B167" s="160" t="s">
        <v>677</v>
      </c>
      <c r="C167" s="161" t="e">
        <f>IF(dms_RPT="financial",VALUE(LEFT(dms_fy16,4)+1)&amp;"-"&amp;TEXT(MID(dms_fy16,3,2)+2,"00"),VALUE(LEFT(dms_fy16,4)+1))</f>
        <v>#NAME?</v>
      </c>
      <c r="D167" s="162">
        <v>2022</v>
      </c>
      <c r="E167" s="163" t="s">
        <v>551</v>
      </c>
      <c r="F167" s="460"/>
      <c r="G167" s="460"/>
      <c r="H167" s="460"/>
      <c r="I167" s="460"/>
      <c r="J167" s="153"/>
      <c r="X167"/>
      <c r="Y167"/>
    </row>
    <row r="168" spans="1:25">
      <c r="B168" s="160" t="s">
        <v>678</v>
      </c>
      <c r="C168" s="161" t="e">
        <f>IF(dms_RPT="financial",VALUE(LEFT(dms_fy17,4)+1)&amp;"-"&amp;TEXT(MID(dms_fy17,3,2)+2,"00"),VALUE(LEFT(dms_fy17,4)+1))</f>
        <v>#NAME?</v>
      </c>
      <c r="D168" s="162">
        <v>2023</v>
      </c>
      <c r="E168" s="163" t="s">
        <v>552</v>
      </c>
      <c r="F168" s="460"/>
      <c r="G168" s="460"/>
      <c r="H168" s="460"/>
      <c r="I168" s="460"/>
      <c r="J168" s="153"/>
      <c r="X168"/>
      <c r="Y168"/>
    </row>
    <row r="169" spans="1:25">
      <c r="B169" s="160" t="s">
        <v>679</v>
      </c>
      <c r="C169" s="161" t="e">
        <f>IF(dms_RPT="financial",VALUE(LEFT(dms_fy18,4)+1)&amp;"-"&amp;TEXT(MID(dms_fy18,3,2)+2,"00"),VALUE(LEFT(dms_fy18,4)+1))</f>
        <v>#NAME?</v>
      </c>
      <c r="D169" s="162">
        <v>2024</v>
      </c>
      <c r="E169" s="163" t="s">
        <v>553</v>
      </c>
      <c r="F169" s="460"/>
      <c r="G169" s="460"/>
      <c r="H169" s="460"/>
      <c r="I169" s="460"/>
      <c r="J169" s="153"/>
      <c r="X169"/>
      <c r="Y169"/>
    </row>
    <row r="170" spans="1:25" ht="15.75" thickBot="1">
      <c r="B170" s="185" t="s">
        <v>680</v>
      </c>
      <c r="C170" s="186" t="e">
        <f>IF(dms_RPT="financial",VALUE(LEFT(dms_fy19,4)+1)&amp;"-"&amp;TEXT(MID(dms_fy19,3,2)+2,"00"),VALUE(LEFT(dms_fy19)+1))</f>
        <v>#NAME?</v>
      </c>
      <c r="D170" s="187">
        <v>2025</v>
      </c>
      <c r="E170" s="188" t="s">
        <v>554</v>
      </c>
      <c r="F170" s="461"/>
      <c r="G170" s="461"/>
      <c r="H170" s="461"/>
      <c r="I170" s="461"/>
      <c r="J170" s="189"/>
      <c r="X170"/>
      <c r="Y170"/>
    </row>
    <row r="171" spans="1:25">
      <c r="B171" s="1"/>
      <c r="C171" s="1"/>
      <c r="X171"/>
      <c r="Y171"/>
    </row>
    <row r="172" spans="1:25">
      <c r="B172" s="1"/>
      <c r="C172" s="1"/>
      <c r="E172" s="1"/>
      <c r="X172"/>
      <c r="Y172"/>
    </row>
    <row r="173" spans="1:25">
      <c r="B173" s="1"/>
      <c r="C173" s="1"/>
      <c r="E173" s="1"/>
    </row>
    <row r="174" spans="1: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25" ht="15.75" thickBot="1"/>
    <row r="176" spans="1:25" ht="15.75" thickBot="1">
      <c r="B176" s="462" t="s">
        <v>681</v>
      </c>
      <c r="C176" s="463"/>
      <c r="D176" s="463"/>
      <c r="E176" s="463"/>
      <c r="F176" s="463"/>
      <c r="G176" s="463"/>
      <c r="H176" s="464"/>
      <c r="I176" s="464"/>
      <c r="J176" s="464"/>
      <c r="K176" s="464"/>
      <c r="L176" s="464"/>
      <c r="M176" s="464"/>
      <c r="N176" s="464"/>
      <c r="O176" s="465"/>
    </row>
    <row r="177" spans="2:15">
      <c r="B177" s="466"/>
      <c r="C177" s="467" t="s">
        <v>682</v>
      </c>
      <c r="D177" s="468"/>
      <c r="E177" s="469"/>
      <c r="F177" s="470"/>
      <c r="G177" s="470"/>
      <c r="H177" s="1"/>
      <c r="I177" s="1"/>
      <c r="J177" s="1"/>
      <c r="K177" s="1"/>
      <c r="L177" s="1"/>
      <c r="O177" s="471"/>
    </row>
    <row r="178" spans="2:15" ht="15.75" thickBot="1">
      <c r="B178" s="466"/>
      <c r="C178" s="472" t="s">
        <v>683</v>
      </c>
      <c r="D178" s="472" t="s">
        <v>684</v>
      </c>
      <c r="E178" s="472" t="s">
        <v>685</v>
      </c>
      <c r="F178" s="472" t="s">
        <v>686</v>
      </c>
      <c r="G178" s="473"/>
      <c r="H178" s="1"/>
      <c r="I178" s="1"/>
      <c r="J178" s="1"/>
      <c r="K178" s="1"/>
      <c r="L178" s="1"/>
      <c r="O178" s="474"/>
    </row>
    <row r="179" spans="2:15" ht="39" thickBot="1">
      <c r="B179" s="466"/>
      <c r="C179" s="475" t="s">
        <v>687</v>
      </c>
      <c r="D179" s="476" t="s">
        <v>688</v>
      </c>
      <c r="E179" s="477" t="s">
        <v>689</v>
      </c>
      <c r="F179" s="477" t="s">
        <v>690</v>
      </c>
      <c r="G179" s="478"/>
      <c r="H179" s="1"/>
      <c r="I179" s="1"/>
      <c r="J179" s="1"/>
      <c r="K179" s="1"/>
      <c r="L179" s="1"/>
      <c r="O179" s="471"/>
    </row>
    <row r="180" spans="2:15">
      <c r="B180" s="466"/>
      <c r="C180" s="478"/>
      <c r="D180" s="478"/>
      <c r="E180" s="478"/>
      <c r="F180" s="478"/>
      <c r="G180" s="478"/>
      <c r="H180" s="1"/>
      <c r="I180" s="1"/>
      <c r="J180" s="1"/>
      <c r="K180" s="1"/>
      <c r="L180" s="1"/>
      <c r="O180" s="471"/>
    </row>
    <row r="181" spans="2:15">
      <c r="B181" s="466"/>
      <c r="C181" s="478"/>
      <c r="D181" s="478"/>
      <c r="E181" s="478"/>
      <c r="F181" s="478"/>
      <c r="G181" s="478"/>
      <c r="H181" s="1"/>
      <c r="I181" s="1"/>
      <c r="J181" s="1"/>
      <c r="K181" s="1"/>
      <c r="L181" s="1"/>
      <c r="O181" s="471"/>
    </row>
    <row r="182" spans="2:15" ht="15.75" thickBot="1">
      <c r="B182" s="466"/>
      <c r="C182" s="478"/>
      <c r="D182" s="478"/>
      <c r="E182" s="478"/>
      <c r="F182" s="478"/>
      <c r="G182" s="478"/>
      <c r="H182" s="1"/>
      <c r="I182" s="1"/>
      <c r="J182" s="1"/>
      <c r="K182" s="1"/>
      <c r="L182" s="1"/>
      <c r="O182" s="471"/>
    </row>
    <row r="183" spans="2:15">
      <c r="B183" s="466"/>
      <c r="C183" s="479" t="s">
        <v>691</v>
      </c>
      <c r="D183" s="470"/>
      <c r="E183" s="470"/>
      <c r="F183" s="480"/>
      <c r="G183" s="478"/>
      <c r="H183" s="1"/>
      <c r="I183" s="1"/>
      <c r="J183" s="1"/>
      <c r="K183" s="1"/>
      <c r="L183" s="1"/>
      <c r="O183" s="471"/>
    </row>
    <row r="184" spans="2:15" ht="15.75" thickBot="1">
      <c r="B184" s="466"/>
      <c r="C184" s="472" t="s">
        <v>692</v>
      </c>
      <c r="D184" s="472" t="s">
        <v>693</v>
      </c>
      <c r="E184" s="472" t="s">
        <v>694</v>
      </c>
      <c r="F184" s="471"/>
      <c r="G184" s="478"/>
      <c r="H184" s="1"/>
      <c r="I184" s="1"/>
      <c r="J184" s="1"/>
      <c r="K184" s="1"/>
      <c r="L184" s="1"/>
      <c r="O184" s="471"/>
    </row>
    <row r="185" spans="2:15" ht="64.5" thickBot="1">
      <c r="B185" s="466"/>
      <c r="C185" s="481" t="s">
        <v>695</v>
      </c>
      <c r="D185" s="482" t="s">
        <v>696</v>
      </c>
      <c r="E185" s="483" t="e">
        <f>dms_060701_StartDateTxt</f>
        <v>#NAME?</v>
      </c>
      <c r="F185" s="484"/>
      <c r="G185" s="478"/>
      <c r="H185" s="1"/>
      <c r="I185" s="1"/>
      <c r="J185" s="1"/>
      <c r="K185" s="1"/>
      <c r="L185" s="1"/>
      <c r="O185" s="471"/>
    </row>
    <row r="186" spans="2:15">
      <c r="B186" s="466"/>
      <c r="C186" s="478"/>
      <c r="D186" s="478"/>
      <c r="E186" s="478"/>
      <c r="F186" s="478"/>
      <c r="G186" s="478"/>
      <c r="H186" s="1"/>
      <c r="I186" s="1"/>
      <c r="J186" s="1"/>
      <c r="K186" s="1"/>
      <c r="L186" s="1"/>
      <c r="O186" s="471"/>
    </row>
    <row r="187" spans="2:15">
      <c r="B187" s="466"/>
      <c r="C187" s="478"/>
      <c r="D187" s="478"/>
      <c r="E187" s="478"/>
      <c r="F187" s="478"/>
      <c r="G187" s="478"/>
      <c r="H187" s="1"/>
      <c r="I187" s="1"/>
      <c r="J187" s="1"/>
      <c r="K187" s="1"/>
      <c r="L187" s="1"/>
      <c r="O187" s="471"/>
    </row>
    <row r="188" spans="2:15" ht="15.75" thickBot="1">
      <c r="B188" s="466"/>
      <c r="C188" s="478"/>
      <c r="D188" s="478"/>
      <c r="E188" s="478"/>
      <c r="F188" s="478"/>
      <c r="G188"/>
      <c r="H188"/>
      <c r="I188" s="1"/>
      <c r="J188" s="1"/>
      <c r="K188" s="1"/>
      <c r="L188" s="1"/>
      <c r="O188" s="471"/>
    </row>
    <row r="189" spans="2:15" ht="15.75" thickBot="1">
      <c r="B189" s="466"/>
      <c r="C189" s="1"/>
      <c r="E189" s="199"/>
      <c r="F189" s="199"/>
      <c r="G189"/>
      <c r="H189" s="485" t="s">
        <v>697</v>
      </c>
      <c r="I189" s="486" t="e">
        <f>INDEX(dms_FeederName_1,MATCH(dms_TradingName,dms_TradingName_List))</f>
        <v>#NAME?</v>
      </c>
      <c r="J189" s="487" t="e">
        <f>INDEX(dms_FeederName_2,MATCH(dms_TradingName,dms_TradingName_List))</f>
        <v>#NAME?</v>
      </c>
      <c r="K189" s="487" t="e">
        <f>INDEX(dms_FeederName_3,MATCH(dms_TradingName,dms_TradingName_List))</f>
        <v>#NAME?</v>
      </c>
      <c r="L189" s="487" t="e">
        <f>INDEX(dms_FeederName_4,MATCH(dms_TradingName,dms_TradingName_List))</f>
        <v>#NAME?</v>
      </c>
      <c r="M189" s="488"/>
      <c r="O189" s="471"/>
    </row>
    <row r="190" spans="2:15">
      <c r="B190" s="466"/>
      <c r="C190" s="479" t="s">
        <v>698</v>
      </c>
      <c r="D190" s="470"/>
      <c r="E190" s="470"/>
      <c r="F190" s="480"/>
      <c r="G190"/>
      <c r="H190"/>
      <c r="I190" s="1"/>
      <c r="J190" s="1"/>
      <c r="K190" s="1"/>
      <c r="L190" s="1"/>
      <c r="O190" s="471"/>
    </row>
    <row r="191" spans="2:15">
      <c r="B191" s="466"/>
      <c r="C191" s="489" t="s">
        <v>699</v>
      </c>
      <c r="E191" s="490"/>
      <c r="F191" s="491"/>
      <c r="G191" s="491"/>
      <c r="H191" s="1"/>
      <c r="I191" s="1"/>
      <c r="J191" s="452"/>
      <c r="K191" s="1"/>
      <c r="L191" s="1"/>
      <c r="O191" s="471"/>
    </row>
    <row r="192" spans="2:15">
      <c r="B192" s="492" t="s">
        <v>700</v>
      </c>
      <c r="C192" s="493" t="e">
        <f>INDEX(dms_FeederName_1,MATCH(dms_TradingName,dms_TradingName_List))</f>
        <v>#NAME?</v>
      </c>
      <c r="D192" s="493" t="e">
        <f>INDEX(dms_FeederName_1,MATCH(dms_TradingName,dms_TradingName_List))</f>
        <v>#NAME?</v>
      </c>
      <c r="E192" s="494" t="e">
        <f>INDEX(dms_FeederName_2,MATCH(dms_TradingName,dms_TradingName_List))</f>
        <v>#NAME?</v>
      </c>
      <c r="F192" s="494" t="e">
        <f>INDEX(dms_FeederName_2,MATCH(dms_TradingName,dms_TradingName_List))</f>
        <v>#NAME?</v>
      </c>
      <c r="G192" s="493" t="e">
        <f>INDEX(dms_FeederName_3,MATCH(dms_TradingName,dms_TradingName_List))</f>
        <v>#NAME?</v>
      </c>
      <c r="H192" s="493" t="e">
        <f>INDEX(dms_FeederName_3,MATCH(dms_TradingName,dms_TradingName_List))</f>
        <v>#NAME?</v>
      </c>
      <c r="I192" s="494" t="e">
        <f>INDEX(dms_FeederName_4,MATCH(dms_TradingName,dms_TradingName_List))</f>
        <v>#NAME?</v>
      </c>
      <c r="J192" s="494" t="e">
        <f>INDEX(dms_FeederName_4,MATCH(dms_TradingName,dms_TradingName_List))</f>
        <v>#NAME?</v>
      </c>
      <c r="K192" s="493" t="e">
        <f>IF((INDEX(dms_FeederName_5,MATCH(dms_TradingName,dms_TradingName_List))=0),"Network",(INDEX(dms_FeederName_5,MATCH(dms_TradingName,dms_TradingName_List))))</f>
        <v>#NAME?</v>
      </c>
      <c r="L192" s="493" t="e">
        <f>IF((INDEX(dms_FeederName_5,MATCH(dms_TradingName,dms_TradingName_List))=0),"Network",(INDEX(dms_FeederName_5,MATCH(dms_TradingName,dms_TradingName_List))))</f>
        <v>#NAME?</v>
      </c>
      <c r="M192" s="493" t="s">
        <v>701</v>
      </c>
      <c r="N192" s="493" t="s">
        <v>701</v>
      </c>
      <c r="O192" s="471"/>
    </row>
    <row r="193" spans="1:15" ht="15.75" thickBot="1">
      <c r="B193" s="495"/>
      <c r="C193" s="496"/>
      <c r="E193" s="199"/>
      <c r="F193" s="199"/>
      <c r="H193" s="1"/>
      <c r="I193" s="1"/>
      <c r="J193" s="1"/>
      <c r="K193" s="1"/>
      <c r="L193" s="1"/>
      <c r="M193" s="471"/>
      <c r="O193" s="471"/>
    </row>
    <row r="194" spans="1:15" ht="51.75" thickBot="1">
      <c r="B194" s="497" t="s">
        <v>702</v>
      </c>
      <c r="C194" s="498" t="s">
        <v>703</v>
      </c>
      <c r="D194" s="499" t="s">
        <v>704</v>
      </c>
      <c r="E194" s="499" t="s">
        <v>703</v>
      </c>
      <c r="F194" s="499" t="s">
        <v>704</v>
      </c>
      <c r="G194" s="499" t="s">
        <v>703</v>
      </c>
      <c r="H194" s="499" t="s">
        <v>704</v>
      </c>
      <c r="I194" s="499" t="s">
        <v>703</v>
      </c>
      <c r="J194" s="499" t="s">
        <v>704</v>
      </c>
      <c r="K194" s="499" t="s">
        <v>703</v>
      </c>
      <c r="L194" s="500" t="s">
        <v>704</v>
      </c>
      <c r="M194" s="499" t="s">
        <v>703</v>
      </c>
      <c r="N194" s="500" t="s">
        <v>704</v>
      </c>
      <c r="O194" s="471"/>
    </row>
    <row r="195" spans="1:15">
      <c r="B195" s="466"/>
      <c r="C195" s="501" t="s">
        <v>705</v>
      </c>
      <c r="E195" s="1"/>
      <c r="G195" s="491"/>
      <c r="H195" s="1"/>
      <c r="I195" s="491"/>
      <c r="J195" s="491"/>
      <c r="K195" s="1"/>
      <c r="L195" s="1"/>
      <c r="O195" s="471"/>
    </row>
    <row r="196" spans="1:15">
      <c r="A196" s="502"/>
      <c r="B196" s="478"/>
      <c r="C196" s="1"/>
      <c r="E196" s="199"/>
      <c r="F196" s="199"/>
      <c r="H196" s="1"/>
      <c r="I196" s="491"/>
      <c r="J196" s="491"/>
      <c r="K196" s="1"/>
      <c r="L196" s="1"/>
      <c r="O196" s="471"/>
    </row>
    <row r="197" spans="1:15">
      <c r="A197" s="502"/>
      <c r="B197" s="478"/>
      <c r="C197" s="503"/>
      <c r="D197" s="501"/>
      <c r="E197" s="501"/>
      <c r="F197" s="501"/>
      <c r="G197" s="501"/>
      <c r="H197" s="1"/>
      <c r="I197" s="491"/>
      <c r="J197" s="491"/>
      <c r="K197" s="1"/>
      <c r="L197" s="1"/>
      <c r="O197" s="471"/>
    </row>
    <row r="198" spans="1:15">
      <c r="A198" s="502"/>
      <c r="B198" s="478"/>
      <c r="C198" s="148"/>
      <c r="D198" s="504"/>
      <c r="E198" s="491"/>
      <c r="F198" s="491"/>
      <c r="G198" s="491"/>
      <c r="H198" s="1"/>
      <c r="I198" s="505"/>
      <c r="J198" s="504"/>
      <c r="K198" s="1"/>
      <c r="L198" s="1"/>
      <c r="O198" s="471"/>
    </row>
    <row r="199" spans="1:15" ht="15.75" thickBot="1">
      <c r="A199" s="502"/>
      <c r="B199" s="478"/>
      <c r="C199" s="148"/>
      <c r="D199" s="504"/>
      <c r="E199" s="491"/>
      <c r="F199" s="491"/>
      <c r="G199" s="491"/>
      <c r="H199" s="1"/>
      <c r="I199" s="491"/>
      <c r="J199" s="491"/>
      <c r="K199" s="1"/>
      <c r="L199" s="1"/>
      <c r="O199" s="471"/>
    </row>
    <row r="200" spans="1:15">
      <c r="A200" s="502"/>
      <c r="B200" s="478"/>
      <c r="C200" s="479" t="s">
        <v>706</v>
      </c>
      <c r="D200" s="470"/>
      <c r="E200" s="470"/>
      <c r="F200" s="470"/>
      <c r="G200" s="480"/>
      <c r="H200" s="1"/>
      <c r="I200" s="491"/>
      <c r="J200" s="491"/>
      <c r="K200" s="1"/>
      <c r="L200" s="1"/>
      <c r="O200" s="471"/>
    </row>
    <row r="201" spans="1:15" ht="15.75" thickBot="1">
      <c r="A201" s="502"/>
      <c r="B201" s="478"/>
      <c r="C201" s="506" t="s">
        <v>707</v>
      </c>
      <c r="D201" s="473" t="s">
        <v>708</v>
      </c>
      <c r="E201" s="473" t="s">
        <v>709</v>
      </c>
      <c r="F201" s="473" t="s">
        <v>710</v>
      </c>
      <c r="G201" s="471"/>
      <c r="H201" s="1"/>
      <c r="I201" s="491"/>
      <c r="J201" s="491"/>
      <c r="K201" s="1"/>
      <c r="L201" s="1"/>
      <c r="O201" s="471"/>
    </row>
    <row r="202" spans="1:15" ht="26.25" thickBot="1">
      <c r="A202" s="502"/>
      <c r="B202" s="478"/>
      <c r="C202" s="481" t="s">
        <v>711</v>
      </c>
      <c r="D202" s="482" t="s">
        <v>712</v>
      </c>
      <c r="E202" s="507" t="s">
        <v>713</v>
      </c>
      <c r="F202" s="507" t="s">
        <v>714</v>
      </c>
      <c r="G202" s="484"/>
      <c r="H202" s="1"/>
      <c r="I202" s="491"/>
      <c r="J202" s="491"/>
      <c r="K202" s="1"/>
      <c r="L202" s="1"/>
      <c r="O202" s="471"/>
    </row>
    <row r="203" spans="1:15">
      <c r="A203" s="502"/>
      <c r="B203" s="478"/>
      <c r="C203" s="478"/>
      <c r="D203" s="478"/>
      <c r="E203" s="478"/>
      <c r="F203" s="478"/>
      <c r="G203" s="478"/>
      <c r="H203" s="1"/>
      <c r="I203" s="491"/>
      <c r="J203" s="491"/>
      <c r="K203" s="1"/>
      <c r="L203" s="1"/>
      <c r="O203" s="471"/>
    </row>
    <row r="204" spans="1:15">
      <c r="A204" s="502"/>
      <c r="B204" s="478"/>
      <c r="C204" s="478"/>
      <c r="D204" s="478"/>
      <c r="E204" s="478"/>
      <c r="F204" s="478"/>
      <c r="G204" s="478"/>
      <c r="H204" s="1"/>
      <c r="I204" s="491"/>
      <c r="J204" s="491"/>
      <c r="K204" s="1"/>
      <c r="L204" s="1"/>
      <c r="O204" s="471"/>
    </row>
    <row r="205" spans="1:15">
      <c r="A205" s="502"/>
      <c r="B205" s="478"/>
      <c r="C205" s="503"/>
      <c r="D205" s="478"/>
      <c r="E205" s="478"/>
      <c r="F205" s="478"/>
      <c r="G205" s="478"/>
      <c r="H205" s="1"/>
      <c r="I205" s="491"/>
      <c r="J205" s="491"/>
      <c r="K205" s="1"/>
      <c r="L205" s="1"/>
      <c r="O205" s="471"/>
    </row>
    <row r="206" spans="1:15" ht="15.75" thickBot="1">
      <c r="A206" s="502"/>
      <c r="B206" s="478"/>
      <c r="C206" s="478"/>
      <c r="D206" s="478"/>
      <c r="E206" s="478"/>
      <c r="F206" s="478"/>
      <c r="G206" s="478"/>
      <c r="H206" s="1"/>
      <c r="I206" s="491"/>
      <c r="J206" s="491"/>
      <c r="K206" s="1"/>
      <c r="L206" s="1"/>
      <c r="O206" s="471"/>
    </row>
    <row r="207" spans="1:15" ht="15.75" thickBot="1">
      <c r="A207" s="502"/>
      <c r="B207" s="478"/>
      <c r="C207" s="479" t="s">
        <v>715</v>
      </c>
      <c r="D207" s="480"/>
      <c r="E207"/>
      <c r="F207"/>
      <c r="G207"/>
      <c r="H207" s="1"/>
      <c r="I207" s="491"/>
      <c r="J207" s="491"/>
      <c r="K207" s="1"/>
      <c r="L207" s="1"/>
      <c r="O207" s="471"/>
    </row>
    <row r="208" spans="1:15" ht="15.75" thickBot="1">
      <c r="A208" s="502"/>
      <c r="B208" s="508" t="s">
        <v>716</v>
      </c>
      <c r="C208" s="509" t="s">
        <v>717</v>
      </c>
      <c r="D208" s="510" t="s">
        <v>718</v>
      </c>
      <c r="E208"/>
      <c r="F208"/>
      <c r="G208"/>
      <c r="H208" s="1"/>
      <c r="I208" s="491"/>
      <c r="J208" s="491"/>
      <c r="K208" s="1"/>
      <c r="L208" s="1"/>
      <c r="O208" s="471"/>
    </row>
    <row r="209" spans="1:15">
      <c r="A209" s="502"/>
      <c r="B209"/>
      <c r="C209"/>
      <c r="D209" s="478"/>
      <c r="E209"/>
      <c r="F209"/>
      <c r="G209"/>
      <c r="H209" s="69"/>
      <c r="I209" s="491"/>
      <c r="J209" s="491"/>
      <c r="K209" s="1"/>
      <c r="L209" s="1"/>
      <c r="O209" s="471"/>
    </row>
    <row r="210" spans="1:15">
      <c r="A210" s="502"/>
      <c r="B210"/>
      <c r="C210"/>
      <c r="D210"/>
      <c r="E210"/>
      <c r="F210"/>
      <c r="G210"/>
      <c r="H210" s="1"/>
      <c r="I210" s="491"/>
      <c r="J210" s="491"/>
      <c r="K210" s="1"/>
      <c r="L210" s="1"/>
      <c r="O210" s="471"/>
    </row>
    <row r="211" spans="1:15">
      <c r="A211" s="502"/>
      <c r="B211"/>
      <c r="C211"/>
      <c r="D211"/>
      <c r="E211"/>
      <c r="F211"/>
      <c r="G211"/>
      <c r="H211" s="1"/>
      <c r="I211" s="1"/>
      <c r="J211" s="1"/>
      <c r="K211" s="1"/>
      <c r="L211" s="1"/>
      <c r="O211" s="471"/>
    </row>
    <row r="212" spans="1:15">
      <c r="A212" s="502"/>
      <c r="B212"/>
      <c r="C212"/>
      <c r="D212"/>
      <c r="E212"/>
      <c r="F212"/>
      <c r="G212"/>
      <c r="H212" s="1"/>
      <c r="I212" s="491"/>
      <c r="J212" s="491"/>
      <c r="K212" s="1"/>
      <c r="L212" s="1"/>
      <c r="O212" s="471"/>
    </row>
    <row r="213" spans="1:15">
      <c r="A213" s="502"/>
      <c r="B213" s="478"/>
      <c r="C213" s="1"/>
      <c r="E213" s="199"/>
      <c r="F213" s="199"/>
      <c r="H213" s="1"/>
      <c r="I213" s="1"/>
      <c r="J213" s="1"/>
      <c r="K213" s="1"/>
      <c r="L213" s="1"/>
      <c r="O213" s="471"/>
    </row>
    <row r="214" spans="1:15">
      <c r="A214" s="502"/>
      <c r="B214" s="478"/>
      <c r="C214" s="489" t="s">
        <v>719</v>
      </c>
      <c r="E214" s="199"/>
      <c r="F214" s="199"/>
      <c r="H214" s="1"/>
      <c r="I214" s="1"/>
      <c r="J214" s="1"/>
      <c r="K214" s="1"/>
      <c r="L214" s="1"/>
      <c r="O214" s="471"/>
    </row>
    <row r="215" spans="1:15">
      <c r="A215" s="502"/>
      <c r="B215" s="478"/>
      <c r="C215" s="511" t="s">
        <v>720</v>
      </c>
      <c r="E215" s="199"/>
      <c r="F215" s="199"/>
      <c r="H215" s="1"/>
      <c r="I215" s="1"/>
      <c r="J215" s="1"/>
      <c r="K215" s="1"/>
      <c r="L215" s="1"/>
      <c r="O215" s="471"/>
    </row>
    <row r="216" spans="1:15">
      <c r="A216" s="502"/>
      <c r="B216" s="478"/>
      <c r="C216" s="512" t="s">
        <v>721</v>
      </c>
      <c r="D216" s="512" t="s">
        <v>722</v>
      </c>
      <c r="E216" s="512" t="s">
        <v>723</v>
      </c>
      <c r="F216" s="199"/>
      <c r="H216" s="1"/>
      <c r="I216" s="491"/>
      <c r="J216" s="491"/>
      <c r="K216" s="1"/>
      <c r="L216" s="1"/>
      <c r="O216" s="471"/>
    </row>
    <row r="217" spans="1:15">
      <c r="A217" s="502"/>
      <c r="B217" s="478"/>
      <c r="C217" s="1"/>
      <c r="E217" s="199"/>
      <c r="F217" s="199"/>
      <c r="H217" s="1"/>
      <c r="I217" s="1"/>
      <c r="J217" s="1"/>
      <c r="K217" s="1"/>
      <c r="L217" s="1"/>
      <c r="O217" s="471"/>
    </row>
    <row r="218" spans="1:15">
      <c r="A218" s="502"/>
      <c r="B218" s="478"/>
      <c r="C218" s="513" t="s">
        <v>724</v>
      </c>
      <c r="D218" s="514"/>
      <c r="E218" s="514"/>
      <c r="F218" s="514"/>
      <c r="G218" s="514"/>
      <c r="H218" s="514"/>
      <c r="I218" s="515"/>
      <c r="J218" s="514"/>
      <c r="K218" s="514"/>
      <c r="L218" s="514"/>
      <c r="M218" s="516"/>
      <c r="O218" s="471"/>
    </row>
    <row r="219" spans="1:15">
      <c r="A219" s="502"/>
      <c r="B219" s="478"/>
      <c r="C219" s="514" t="s">
        <v>725</v>
      </c>
      <c r="D219" s="514" t="s">
        <v>726</v>
      </c>
      <c r="E219" s="514" t="s">
        <v>727</v>
      </c>
      <c r="F219" s="514" t="s">
        <v>728</v>
      </c>
      <c r="G219" s="514" t="s">
        <v>729</v>
      </c>
      <c r="H219" s="514" t="s">
        <v>730</v>
      </c>
      <c r="I219" s="515" t="s">
        <v>731</v>
      </c>
      <c r="J219" s="514" t="s">
        <v>732</v>
      </c>
      <c r="K219" s="514" t="s">
        <v>733</v>
      </c>
      <c r="L219" s="514" t="s">
        <v>734</v>
      </c>
      <c r="M219" s="516"/>
      <c r="O219" s="471"/>
    </row>
    <row r="220" spans="1:15">
      <c r="A220" s="502"/>
      <c r="B220" s="478"/>
      <c r="C220" s="199" t="s">
        <v>735</v>
      </c>
      <c r="E220" s="199"/>
      <c r="F220" s="199"/>
      <c r="H220" s="1"/>
      <c r="I220" s="491"/>
      <c r="J220" s="491"/>
      <c r="K220" s="1"/>
      <c r="L220" s="1"/>
      <c r="O220" s="471"/>
    </row>
    <row r="221" spans="1:15">
      <c r="A221" s="502"/>
      <c r="B221" s="478"/>
      <c r="O221" s="471"/>
    </row>
    <row r="222" spans="1:15">
      <c r="A222" s="502"/>
      <c r="B222" s="478"/>
      <c r="C222" s="511" t="s">
        <v>736</v>
      </c>
      <c r="E222" s="199"/>
      <c r="F222" s="199"/>
      <c r="H222" s="1"/>
      <c r="I222" s="491"/>
      <c r="J222" s="491"/>
      <c r="K222" s="1"/>
      <c r="L222" s="1"/>
      <c r="N222"/>
      <c r="O222" s="471"/>
    </row>
    <row r="223" spans="1:15">
      <c r="A223" s="502"/>
      <c r="B223" s="478"/>
      <c r="C223" t="s">
        <v>737</v>
      </c>
      <c r="D223" t="s">
        <v>738</v>
      </c>
      <c r="E223" t="s">
        <v>739</v>
      </c>
      <c r="F223" t="s">
        <v>740</v>
      </c>
      <c r="G223" t="s">
        <v>741</v>
      </c>
      <c r="H223" t="s">
        <v>742</v>
      </c>
      <c r="I223" t="s">
        <v>743</v>
      </c>
      <c r="J223" t="s">
        <v>744</v>
      </c>
      <c r="K223" t="s">
        <v>745</v>
      </c>
      <c r="L223" t="s">
        <v>746</v>
      </c>
      <c r="M223" t="s">
        <v>747</v>
      </c>
      <c r="O223" s="471"/>
    </row>
    <row r="224" spans="1:15">
      <c r="A224" s="502"/>
      <c r="B224" s="478"/>
      <c r="C224" s="1"/>
      <c r="E224" s="199"/>
      <c r="F224" s="199"/>
      <c r="H224" s="1"/>
      <c r="I224" s="1"/>
      <c r="J224" s="1"/>
      <c r="K224" s="1"/>
      <c r="L224" s="1"/>
      <c r="N224" s="69"/>
      <c r="O224" s="471"/>
    </row>
    <row r="225" spans="1:15" ht="15.75" thickBot="1">
      <c r="A225" s="502"/>
      <c r="B225" s="517"/>
      <c r="C225" s="517"/>
      <c r="D225" s="517"/>
      <c r="E225" s="517"/>
      <c r="F225" s="517"/>
      <c r="G225" s="517"/>
      <c r="H225" s="518"/>
      <c r="I225" s="518"/>
      <c r="J225" s="518"/>
      <c r="K225" s="518"/>
      <c r="L225" s="518"/>
      <c r="M225" s="518"/>
      <c r="N225" s="518"/>
      <c r="O225" s="484"/>
    </row>
    <row r="226" spans="1:15">
      <c r="B226" s="1"/>
      <c r="C226" s="4"/>
      <c r="E226" s="1"/>
      <c r="F226" s="3"/>
      <c r="G226" s="5"/>
      <c r="I226" s="3"/>
      <c r="J226" s="6"/>
      <c r="K226" s="1"/>
      <c r="L226" s="1"/>
      <c r="M226" s="2"/>
      <c r="N226" s="2"/>
    </row>
    <row r="227" spans="1:15">
      <c r="B227" s="4"/>
      <c r="C227" s="1"/>
      <c r="E227" s="3"/>
      <c r="F227" s="5"/>
      <c r="G227" s="3"/>
      <c r="I227" s="6"/>
      <c r="J227" s="1"/>
      <c r="K227" s="1"/>
      <c r="L227" s="2"/>
      <c r="M227" s="2"/>
      <c r="N227" s="2"/>
    </row>
  </sheetData>
  <sheetProtection insertRows="0"/>
  <mergeCells count="16">
    <mergeCell ref="B1:L1"/>
    <mergeCell ref="AB5:AM5"/>
    <mergeCell ref="AB7:AE7"/>
    <mergeCell ref="AH7:AL7"/>
    <mergeCell ref="Z54:AD54"/>
    <mergeCell ref="AE54:AH54"/>
    <mergeCell ref="O55:V55"/>
    <mergeCell ref="Z55:AD55"/>
    <mergeCell ref="AE55:AH55"/>
    <mergeCell ref="O73:P73"/>
    <mergeCell ref="Z73:AC73"/>
    <mergeCell ref="B94:B96"/>
    <mergeCell ref="B97:B101"/>
    <mergeCell ref="B105:B106"/>
    <mergeCell ref="B149:I149"/>
    <mergeCell ref="B55:F55"/>
  </mergeCells>
  <conditionalFormatting sqref="AM11:AM51">
    <cfRule type="cellIs" dxfId="1" priority="2" operator="equal">
      <formula>"YES"</formula>
    </cfRule>
  </conditionalFormatting>
  <conditionalFormatting sqref="AB11:AF51">
    <cfRule type="containsText" dxfId="0" priority="1" operator="containsText" text="YES">
      <formula>NOT(ISERROR(SEARCH("YES",AB11)))</formula>
    </cfRule>
  </conditionalFormatting>
  <dataValidations count="1">
    <dataValidation type="textLength" operator="greaterThan" showInputMessage="1" showErrorMessage="1" sqref="Q21:Q22 O21:O22" xr:uid="{00000000-0002-0000-0000-000000000000}">
      <formula1>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topLeftCell="A12" workbookViewId="0">
      <selection activeCell="A39" sqref="A39:XFD1048576"/>
    </sheetView>
  </sheetViews>
  <sheetFormatPr defaultColWidth="0" defaultRowHeight="15" zeroHeight="1"/>
  <cols>
    <col min="1" max="12" width="9" customWidth="1"/>
    <col min="13" max="16384" width="9.140625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autoPageBreaks="0" fitToPage="1"/>
  </sheetPr>
  <dimension ref="A1:AE70"/>
  <sheetViews>
    <sheetView showGridLines="0" tabSelected="1" zoomScale="69" zoomScaleNormal="69" workbookViewId="0">
      <selection activeCell="J28" sqref="J28"/>
    </sheetView>
  </sheetViews>
  <sheetFormatPr defaultColWidth="9.140625" defaultRowHeight="15" outlineLevelRow="1"/>
  <cols>
    <col min="1" max="1" width="5" style="521" customWidth="1"/>
    <col min="2" max="2" width="85.85546875" style="519" customWidth="1"/>
    <col min="3" max="8" width="15.28515625" style="519" customWidth="1"/>
    <col min="9" max="9" width="5.85546875" style="519" customWidth="1"/>
    <col min="10" max="20" width="15.28515625" style="519" customWidth="1"/>
    <col min="21" max="21" width="15.85546875" style="519" customWidth="1"/>
    <col min="22" max="22" width="11" style="520" bestFit="1" customWidth="1"/>
    <col min="23" max="23" width="10.5703125" style="520" bestFit="1" customWidth="1"/>
    <col min="24" max="24" width="10.7109375" style="520" bestFit="1" customWidth="1"/>
    <col min="25" max="25" width="11" style="520" bestFit="1" customWidth="1"/>
    <col min="26" max="26" width="9.28515625" style="520" customWidth="1"/>
    <col min="27" max="27" width="11" style="520" bestFit="1" customWidth="1"/>
    <col min="28" max="29" width="10.5703125" style="520" bestFit="1" customWidth="1"/>
    <col min="30" max="30" width="9.85546875" style="520" customWidth="1"/>
    <col min="31" max="16384" width="9.140625" style="519"/>
  </cols>
  <sheetData>
    <row r="1" spans="1:31" ht="30" customHeight="1">
      <c r="A1" s="679"/>
      <c r="B1" s="192" t="s">
        <v>302</v>
      </c>
      <c r="C1" s="683"/>
      <c r="D1" s="683"/>
      <c r="E1" s="683"/>
      <c r="F1" s="683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2"/>
      <c r="U1" s="682"/>
      <c r="AE1" s="681"/>
    </row>
    <row r="2" spans="1:31" ht="30" customHeight="1">
      <c r="A2" s="679"/>
      <c r="B2" s="193" t="s">
        <v>756</v>
      </c>
      <c r="C2" s="684"/>
      <c r="D2" s="684"/>
      <c r="E2" s="684"/>
      <c r="F2" s="684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682"/>
      <c r="R2" s="682"/>
      <c r="S2" s="682"/>
      <c r="T2" s="682"/>
      <c r="U2" s="682"/>
      <c r="AE2" s="681"/>
    </row>
    <row r="3" spans="1:31" ht="30" customHeight="1">
      <c r="A3" s="679"/>
      <c r="B3" s="193" t="s">
        <v>757</v>
      </c>
      <c r="C3" s="683"/>
      <c r="D3" s="683"/>
      <c r="E3" s="683"/>
      <c r="F3" s="683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2"/>
      <c r="U3" s="682"/>
      <c r="AE3" s="681"/>
    </row>
    <row r="4" spans="1:31" s="549" customFormat="1" ht="30" customHeight="1">
      <c r="A4" s="520"/>
      <c r="B4" s="685" t="s">
        <v>759</v>
      </c>
      <c r="C4" s="680"/>
      <c r="D4" s="680"/>
      <c r="E4" s="680"/>
      <c r="F4" s="680"/>
      <c r="G4" s="680"/>
      <c r="H4" s="680"/>
      <c r="I4" s="680"/>
      <c r="J4" s="680"/>
      <c r="K4" s="680"/>
      <c r="L4" s="680"/>
      <c r="M4" s="680"/>
      <c r="N4" s="680"/>
      <c r="O4" s="680"/>
      <c r="P4" s="680"/>
      <c r="Q4" s="680"/>
      <c r="R4" s="680"/>
      <c r="S4" s="680"/>
      <c r="T4" s="680"/>
      <c r="U4" s="680"/>
      <c r="V4" s="520"/>
      <c r="W4" s="520"/>
      <c r="X4" s="520"/>
      <c r="Y4" s="520"/>
      <c r="Z4" s="520"/>
      <c r="AA4" s="520"/>
      <c r="AB4" s="520"/>
    </row>
    <row r="5" spans="1:31" ht="24" customHeight="1">
      <c r="A5" s="679"/>
      <c r="B5" s="578"/>
      <c r="C5" s="578"/>
      <c r="D5" s="578"/>
      <c r="E5" s="578"/>
      <c r="F5" s="578"/>
    </row>
    <row r="6" spans="1:31" ht="25.5" customHeight="1" outlineLevel="1">
      <c r="B6" s="686" t="s">
        <v>560</v>
      </c>
      <c r="C6" s="686"/>
      <c r="D6" s="686"/>
      <c r="E6" s="686"/>
      <c r="F6" s="686"/>
      <c r="G6" s="686"/>
      <c r="H6" s="686"/>
      <c r="I6" s="686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AE6" s="524"/>
    </row>
    <row r="7" spans="1:31" ht="273" customHeight="1" outlineLevel="1">
      <c r="B7" s="812" t="s">
        <v>768</v>
      </c>
      <c r="C7" s="812"/>
      <c r="D7" s="812"/>
      <c r="E7" s="812"/>
      <c r="F7" s="812"/>
      <c r="G7" s="812"/>
      <c r="H7" s="812"/>
      <c r="I7"/>
      <c r="J7" s="677"/>
      <c r="K7" s="677"/>
      <c r="L7" s="677"/>
      <c r="M7" s="677"/>
      <c r="N7" s="677"/>
      <c r="O7" s="677"/>
      <c r="P7" s="677"/>
      <c r="Q7" s="675"/>
      <c r="R7" s="675"/>
      <c r="S7" s="675"/>
      <c r="T7" s="675"/>
      <c r="U7" s="675"/>
      <c r="AE7" s="676"/>
    </row>
    <row r="8" spans="1:31" outlineLevel="1">
      <c r="B8" s="675"/>
      <c r="C8" s="675"/>
      <c r="D8" s="675"/>
      <c r="E8" s="675"/>
      <c r="F8" s="675"/>
      <c r="G8" s="675"/>
      <c r="H8" s="675"/>
      <c r="I8" s="675"/>
      <c r="J8" s="675"/>
      <c r="K8" s="675"/>
      <c r="L8" s="675"/>
      <c r="M8" s="675"/>
      <c r="N8" s="675"/>
      <c r="O8" s="675"/>
      <c r="P8" s="675"/>
      <c r="Q8" s="675"/>
      <c r="R8" s="675"/>
      <c r="S8" s="675"/>
      <c r="T8" s="675"/>
      <c r="U8" s="675"/>
      <c r="AE8" s="671"/>
    </row>
    <row r="9" spans="1:31" ht="15.75" outlineLevel="1" thickBot="1">
      <c r="B9" s="674"/>
      <c r="C9" s="673"/>
      <c r="D9" s="673"/>
      <c r="E9" s="673"/>
      <c r="F9" s="673"/>
      <c r="G9" s="672"/>
      <c r="H9" s="520"/>
      <c r="I9" s="520"/>
      <c r="J9" s="520"/>
      <c r="K9" s="520"/>
      <c r="L9" s="520"/>
      <c r="M9" s="520"/>
      <c r="N9" s="520"/>
      <c r="O9" s="520"/>
      <c r="P9" s="520"/>
      <c r="Q9" s="520"/>
      <c r="R9" s="520"/>
      <c r="S9" s="520"/>
      <c r="T9" s="520"/>
      <c r="U9" s="520"/>
      <c r="AE9" s="671"/>
    </row>
    <row r="10" spans="1:31" s="522" customFormat="1" ht="24.75" customHeight="1" thickBot="1">
      <c r="B10" s="670" t="s">
        <v>561</v>
      </c>
      <c r="C10" s="669"/>
      <c r="D10" s="669"/>
      <c r="E10" s="669"/>
      <c r="F10" s="669"/>
      <c r="G10" s="669"/>
      <c r="H10" s="668"/>
      <c r="I10" s="519"/>
      <c r="J10" s="519"/>
      <c r="K10" s="519"/>
      <c r="L10" s="519"/>
      <c r="M10" s="519"/>
      <c r="N10" s="519"/>
      <c r="O10" s="519"/>
      <c r="R10" s="520"/>
      <c r="S10" s="520"/>
      <c r="T10" s="520"/>
      <c r="U10" s="520"/>
      <c r="V10" s="520"/>
      <c r="W10" s="520"/>
      <c r="X10" s="520"/>
      <c r="Y10" s="520"/>
      <c r="Z10" s="520"/>
      <c r="AA10" s="520"/>
      <c r="AB10" s="520"/>
      <c r="AC10" s="520"/>
    </row>
    <row r="11" spans="1:31" s="522" customFormat="1" ht="18.75" thickBot="1">
      <c r="B11" s="667"/>
      <c r="C11" s="807" t="s">
        <v>323</v>
      </c>
      <c r="D11" s="808"/>
      <c r="E11" s="808"/>
      <c r="F11" s="809"/>
      <c r="G11" s="810" t="s">
        <v>326</v>
      </c>
      <c r="H11" s="811"/>
      <c r="I11" s="656"/>
      <c r="J11" s="656"/>
      <c r="K11" s="656"/>
      <c r="L11" s="656"/>
      <c r="M11" s="656"/>
      <c r="N11" s="656"/>
      <c r="O11" s="656"/>
      <c r="R11" s="520"/>
      <c r="S11" s="520"/>
      <c r="T11" s="520"/>
      <c r="U11" s="520"/>
      <c r="V11" s="520"/>
      <c r="W11" s="520"/>
      <c r="X11" s="520"/>
      <c r="Y11" s="520"/>
      <c r="Z11" s="520"/>
      <c r="AA11" s="520"/>
      <c r="AB11" s="520"/>
      <c r="AC11" s="520"/>
    </row>
    <row r="12" spans="1:31" s="522" customFormat="1" ht="18.75" thickBot="1">
      <c r="B12" s="667"/>
      <c r="C12" s="666">
        <v>2020</v>
      </c>
      <c r="D12" s="665">
        <v>2021</v>
      </c>
      <c r="E12" s="664">
        <v>2022</v>
      </c>
      <c r="F12" s="664">
        <v>2023</v>
      </c>
      <c r="G12" s="664">
        <v>2024</v>
      </c>
      <c r="H12" s="663">
        <v>2025</v>
      </c>
      <c r="I12" s="520"/>
      <c r="J12" s="520"/>
      <c r="K12" s="520"/>
      <c r="L12" s="520"/>
      <c r="M12" s="520"/>
      <c r="N12" s="520"/>
      <c r="O12" s="520"/>
      <c r="R12" s="520"/>
      <c r="S12" s="520"/>
      <c r="T12" s="520"/>
      <c r="U12" s="520"/>
      <c r="V12" s="520"/>
      <c r="W12" s="520"/>
      <c r="X12" s="520"/>
      <c r="Y12" s="520"/>
      <c r="Z12" s="520"/>
      <c r="AA12" s="520"/>
      <c r="AB12" s="520"/>
      <c r="AC12" s="520"/>
    </row>
    <row r="13" spans="1:31" ht="15.75" customHeight="1">
      <c r="B13" s="662" t="s">
        <v>763</v>
      </c>
      <c r="C13" s="690"/>
      <c r="D13" s="690"/>
      <c r="E13" s="690"/>
      <c r="F13" s="690"/>
      <c r="G13" s="661">
        <f>F13*(1+G14)</f>
        <v>0</v>
      </c>
      <c r="H13" s="660">
        <f>G13*(1+H14)</f>
        <v>0</v>
      </c>
      <c r="U13" s="520"/>
      <c r="AD13" s="519"/>
    </row>
    <row r="14" spans="1:31" s="569" customFormat="1">
      <c r="A14" s="659"/>
      <c r="B14" s="658" t="s">
        <v>751</v>
      </c>
      <c r="C14" s="657"/>
      <c r="D14" s="691" t="e">
        <f>D13/C13-1</f>
        <v>#DIV/0!</v>
      </c>
      <c r="E14" s="691" t="e">
        <f>E13/D13-1</f>
        <v>#DIV/0!</v>
      </c>
      <c r="F14" s="691" t="e">
        <f>F13/E13-1</f>
        <v>#DIV/0!</v>
      </c>
      <c r="G14" s="694"/>
      <c r="H14" s="694"/>
      <c r="J14" s="656"/>
      <c r="K14" s="656"/>
      <c r="L14" s="656"/>
      <c r="M14" s="656"/>
      <c r="N14" s="656"/>
      <c r="O14" s="656"/>
      <c r="Q14" s="655"/>
      <c r="R14" s="655"/>
      <c r="S14" s="655"/>
      <c r="T14" s="655"/>
      <c r="U14" s="655"/>
      <c r="V14" s="520"/>
      <c r="W14" s="520"/>
      <c r="X14" s="520"/>
      <c r="Y14" s="520"/>
      <c r="Z14" s="520"/>
      <c r="AA14" s="520"/>
      <c r="AB14" s="520"/>
      <c r="AC14" s="520"/>
      <c r="AD14" s="520"/>
    </row>
    <row r="15" spans="1:31" s="520" customFormat="1" ht="13.5" thickBot="1">
      <c r="B15" s="654" t="s">
        <v>764</v>
      </c>
      <c r="C15" s="692" t="e">
        <f>D15/(1+D14)</f>
        <v>#DIV/0!</v>
      </c>
      <c r="D15" s="693" t="e">
        <f>E15/(1+E14)</f>
        <v>#DIV/0!</v>
      </c>
      <c r="E15" s="693" t="e">
        <f>F15/(1+F14)</f>
        <v>#DIV/0!</v>
      </c>
      <c r="F15" s="693">
        <f>G15/(1+G14)</f>
        <v>1</v>
      </c>
      <c r="G15" s="693">
        <f>H15/(1+H14)</f>
        <v>1</v>
      </c>
      <c r="H15" s="653">
        <v>1</v>
      </c>
    </row>
    <row r="16" spans="1:31" s="520" customFormat="1" ht="12.75"/>
    <row r="17" spans="1:31" s="520" customFormat="1" ht="12.75"/>
    <row r="18" spans="1:31" ht="17.25" customHeight="1">
      <c r="A18" s="652"/>
      <c r="B18" s="651" t="s">
        <v>777</v>
      </c>
      <c r="C18" s="651"/>
      <c r="D18" s="651"/>
      <c r="E18" s="651"/>
      <c r="F18" s="651"/>
      <c r="G18" s="651"/>
      <c r="H18" s="651"/>
      <c r="I18" s="651"/>
      <c r="J18" s="651"/>
      <c r="K18" s="651"/>
      <c r="L18" s="651"/>
      <c r="M18" s="651"/>
      <c r="N18" s="651"/>
      <c r="O18" s="651"/>
      <c r="P18" s="651"/>
      <c r="Q18" s="651"/>
      <c r="R18" s="651"/>
      <c r="S18" s="651"/>
      <c r="T18" s="651"/>
      <c r="U18" s="520"/>
      <c r="AE18" s="650"/>
    </row>
    <row r="19" spans="1:31" s="522" customFormat="1" ht="13.5" thickBot="1">
      <c r="B19" s="649"/>
      <c r="C19" s="649"/>
      <c r="D19" s="649"/>
      <c r="E19" s="649"/>
      <c r="F19" s="649"/>
      <c r="G19" s="649"/>
      <c r="H19" s="649"/>
      <c r="I19" s="649"/>
      <c r="J19" s="649"/>
      <c r="K19" s="649"/>
      <c r="L19" s="649"/>
      <c r="M19" s="649"/>
      <c r="N19" s="649"/>
      <c r="O19" s="649"/>
      <c r="P19" s="649"/>
      <c r="Q19" s="649"/>
      <c r="R19" s="649"/>
      <c r="S19" s="649"/>
      <c r="T19" s="649"/>
      <c r="U19" s="520"/>
      <c r="V19" s="520"/>
      <c r="W19" s="520"/>
      <c r="X19" s="520"/>
      <c r="Y19" s="520"/>
      <c r="Z19" s="520"/>
      <c r="AA19" s="520"/>
      <c r="AB19" s="520"/>
    </row>
    <row r="20" spans="1:31" s="620" customFormat="1" ht="24.75" customHeight="1" thickBot="1">
      <c r="B20" s="525" t="s">
        <v>765</v>
      </c>
      <c r="C20" s="624"/>
      <c r="D20" s="624"/>
      <c r="E20" s="624"/>
      <c r="F20" s="624"/>
      <c r="G20" s="624"/>
      <c r="H20" s="624"/>
      <c r="I20" s="624"/>
      <c r="J20" s="624"/>
      <c r="K20" s="624"/>
      <c r="L20" s="624"/>
      <c r="M20" s="624"/>
      <c r="N20" s="624"/>
      <c r="O20" s="624"/>
      <c r="P20" s="624"/>
      <c r="Q20" s="624"/>
      <c r="R20" s="624"/>
      <c r="S20" s="624"/>
      <c r="T20" s="624"/>
      <c r="U20" s="520"/>
      <c r="V20" s="520"/>
      <c r="W20" s="520"/>
      <c r="X20" s="520"/>
      <c r="Y20" s="520"/>
      <c r="Z20" s="520"/>
      <c r="AA20" s="520"/>
      <c r="AB20" s="520"/>
    </row>
    <row r="21" spans="1:31" s="522" customFormat="1" ht="15.75">
      <c r="B21" s="648"/>
      <c r="C21" s="647"/>
      <c r="D21" s="804" t="s">
        <v>766</v>
      </c>
      <c r="E21" s="805"/>
      <c r="F21" s="805"/>
      <c r="G21" s="805"/>
      <c r="H21" s="806"/>
      <c r="I21" s="520"/>
      <c r="J21" s="520"/>
      <c r="K21" s="804" t="s">
        <v>766</v>
      </c>
      <c r="L21" s="805"/>
      <c r="M21" s="805"/>
      <c r="N21" s="805"/>
      <c r="O21" s="806"/>
      <c r="P21" s="794" t="s">
        <v>769</v>
      </c>
      <c r="Q21" s="795"/>
      <c r="R21" s="795"/>
      <c r="S21" s="795"/>
      <c r="T21" s="796"/>
      <c r="V21" s="520"/>
      <c r="W21" s="520"/>
      <c r="X21" s="520"/>
      <c r="Y21" s="520"/>
      <c r="Z21" s="520"/>
      <c r="AA21" s="520"/>
      <c r="AB21" s="520"/>
    </row>
    <row r="22" spans="1:31" s="522" customFormat="1" ht="13.5" thickBot="1">
      <c r="B22" s="523"/>
      <c r="C22" s="619"/>
      <c r="D22" s="797" t="s">
        <v>758</v>
      </c>
      <c r="E22" s="798"/>
      <c r="F22" s="798"/>
      <c r="G22" s="798"/>
      <c r="H22" s="799"/>
      <c r="I22" s="520"/>
      <c r="J22" s="520"/>
      <c r="K22" s="797" t="s">
        <v>758</v>
      </c>
      <c r="L22" s="798"/>
      <c r="M22" s="798"/>
      <c r="N22" s="798"/>
      <c r="O22" s="799"/>
      <c r="P22" s="646"/>
      <c r="Q22" s="645"/>
      <c r="R22" s="645"/>
      <c r="S22" s="645"/>
      <c r="T22" s="644"/>
      <c r="V22" s="520"/>
      <c r="W22" s="520"/>
      <c r="X22" s="520"/>
      <c r="Y22" s="520"/>
      <c r="Z22" s="520"/>
      <c r="AA22" s="520"/>
      <c r="AB22" s="520"/>
    </row>
    <row r="23" spans="1:31" s="522" customFormat="1" ht="13.5" thickBot="1">
      <c r="B23" s="523"/>
      <c r="C23" s="617"/>
      <c r="D23" s="564">
        <v>2021</v>
      </c>
      <c r="E23" s="563">
        <v>2022</v>
      </c>
      <c r="F23" s="563">
        <v>2023</v>
      </c>
      <c r="G23" s="563">
        <v>2024</v>
      </c>
      <c r="H23" s="562">
        <v>2025</v>
      </c>
      <c r="I23" s="520"/>
      <c r="J23" s="520"/>
      <c r="K23" s="564">
        <v>2021</v>
      </c>
      <c r="L23" s="563">
        <v>2022</v>
      </c>
      <c r="M23" s="563">
        <v>2023</v>
      </c>
      <c r="N23" s="563">
        <v>2024</v>
      </c>
      <c r="O23" s="562">
        <v>2025</v>
      </c>
      <c r="P23" s="561">
        <v>2026</v>
      </c>
      <c r="Q23" s="560">
        <v>2027</v>
      </c>
      <c r="R23" s="560">
        <v>2028</v>
      </c>
      <c r="S23" s="560">
        <v>2029</v>
      </c>
      <c r="T23" s="559">
        <v>2030</v>
      </c>
      <c r="V23" s="520"/>
      <c r="W23" s="520"/>
      <c r="X23" s="520"/>
      <c r="Y23" s="520"/>
      <c r="Z23" s="520"/>
      <c r="AA23" s="520"/>
      <c r="AB23" s="520"/>
    </row>
    <row r="24" spans="1:31">
      <c r="B24" s="615" t="s">
        <v>755</v>
      </c>
      <c r="C24" s="614"/>
      <c r="D24" s="752">
        <v>84.564999999999998</v>
      </c>
      <c r="E24" s="753">
        <v>93.424999999999997</v>
      </c>
      <c r="F24" s="753">
        <v>94.177000000000007</v>
      </c>
      <c r="G24" s="754">
        <v>92.025000000000006</v>
      </c>
      <c r="H24" s="755">
        <v>90.001000000000005</v>
      </c>
      <c r="I24" s="520"/>
      <c r="J24" s="520"/>
      <c r="K24" s="699" t="e">
        <f>+D24/$C$15</f>
        <v>#DIV/0!</v>
      </c>
      <c r="L24" s="700" t="e">
        <f>+E24/$C$15</f>
        <v>#DIV/0!</v>
      </c>
      <c r="M24" s="700" t="e">
        <f>+F24/$C$15</f>
        <v>#DIV/0!</v>
      </c>
      <c r="N24" s="700" t="e">
        <f>+G24/$C$15</f>
        <v>#DIV/0!</v>
      </c>
      <c r="O24" s="701" t="e">
        <f>+H24/$C$15</f>
        <v>#DIV/0!</v>
      </c>
      <c r="P24" s="636"/>
      <c r="Q24" s="636"/>
      <c r="R24" s="636"/>
      <c r="S24" s="636"/>
      <c r="T24" s="635"/>
      <c r="U24" s="574"/>
    </row>
    <row r="25" spans="1:31">
      <c r="B25" s="611" t="s">
        <v>749</v>
      </c>
      <c r="C25" s="610"/>
      <c r="D25" s="643"/>
      <c r="E25" s="642"/>
      <c r="F25" s="642"/>
      <c r="G25" s="642"/>
      <c r="H25" s="641"/>
      <c r="I25" s="520"/>
      <c r="J25" s="520"/>
      <c r="K25" s="640"/>
      <c r="L25" s="639"/>
      <c r="M25" s="639"/>
      <c r="N25" s="639"/>
      <c r="O25" s="638"/>
      <c r="P25" s="636"/>
      <c r="Q25" s="636"/>
      <c r="R25" s="636"/>
      <c r="S25" s="636"/>
      <c r="T25" s="635"/>
      <c r="U25" s="574"/>
    </row>
    <row r="26" spans="1:31">
      <c r="B26" s="601" t="s">
        <v>778</v>
      </c>
      <c r="C26" s="597"/>
      <c r="D26" s="756">
        <v>2.0419999999999998</v>
      </c>
      <c r="E26" s="757">
        <v>2.0419999999999998</v>
      </c>
      <c r="F26" s="757">
        <v>2.0419999999999998</v>
      </c>
      <c r="G26" s="758">
        <v>2.0419999999999998</v>
      </c>
      <c r="H26" s="759">
        <v>2.0419999999999998</v>
      </c>
      <c r="I26" s="520"/>
      <c r="J26" s="520"/>
      <c r="K26" s="702" t="e">
        <f>-D26/$C$15</f>
        <v>#DIV/0!</v>
      </c>
      <c r="L26" s="703" t="e">
        <f>-E26/$C$15</f>
        <v>#DIV/0!</v>
      </c>
      <c r="M26" s="703" t="e">
        <f>-F26/$C$15</f>
        <v>#DIV/0!</v>
      </c>
      <c r="N26" s="703" t="e">
        <f>-G26/$C$15</f>
        <v>#DIV/0!</v>
      </c>
      <c r="O26" s="704" t="e">
        <f>-H26/$C$15</f>
        <v>#DIV/0!</v>
      </c>
      <c r="P26" s="636"/>
      <c r="Q26" s="636"/>
      <c r="R26" s="636"/>
      <c r="S26" s="636"/>
      <c r="T26" s="635"/>
      <c r="U26" s="625"/>
    </row>
    <row r="27" spans="1:31">
      <c r="B27" s="601" t="s">
        <v>779</v>
      </c>
      <c r="C27" s="597"/>
      <c r="D27" s="756">
        <v>0.372</v>
      </c>
      <c r="E27" s="757">
        <v>0.372</v>
      </c>
      <c r="F27" s="757">
        <v>0.372</v>
      </c>
      <c r="G27" s="758">
        <v>0.372</v>
      </c>
      <c r="H27" s="759">
        <v>0.372</v>
      </c>
      <c r="I27" s="520"/>
      <c r="J27" s="520"/>
      <c r="K27" s="702" t="e">
        <f t="shared" ref="K27:K32" si="0">-D27/$C$15</f>
        <v>#DIV/0!</v>
      </c>
      <c r="L27" s="703" t="e">
        <f t="shared" ref="L27:L32" si="1">-E27/$C$15</f>
        <v>#DIV/0!</v>
      </c>
      <c r="M27" s="703" t="e">
        <f t="shared" ref="M27:M32" si="2">-F27/$C$15</f>
        <v>#DIV/0!</v>
      </c>
      <c r="N27" s="703" t="e">
        <f t="shared" ref="N27:N32" si="3">-G27/$C$15</f>
        <v>#DIV/0!</v>
      </c>
      <c r="O27" s="704" t="e">
        <f t="shared" ref="O27:O32" si="4">-H27/$C$15</f>
        <v>#DIV/0!</v>
      </c>
      <c r="P27" s="636"/>
      <c r="Q27" s="636"/>
      <c r="R27" s="636"/>
      <c r="S27" s="636"/>
      <c r="T27" s="635"/>
      <c r="U27" s="625"/>
    </row>
    <row r="28" spans="1:31">
      <c r="B28" s="601" t="s">
        <v>780</v>
      </c>
      <c r="C28" s="597"/>
      <c r="D28" s="756">
        <v>0.29699999999999999</v>
      </c>
      <c r="E28" s="757">
        <v>0.29699999999999999</v>
      </c>
      <c r="F28" s="757">
        <v>0.29699999999999999</v>
      </c>
      <c r="G28" s="758">
        <v>0.29699999999999999</v>
      </c>
      <c r="H28" s="759">
        <v>0.29699999999999999</v>
      </c>
      <c r="I28" s="520"/>
      <c r="J28" s="520"/>
      <c r="K28" s="702" t="e">
        <f t="shared" si="0"/>
        <v>#DIV/0!</v>
      </c>
      <c r="L28" s="703" t="e">
        <f t="shared" si="1"/>
        <v>#DIV/0!</v>
      </c>
      <c r="M28" s="703" t="e">
        <f t="shared" si="2"/>
        <v>#DIV/0!</v>
      </c>
      <c r="N28" s="703" t="e">
        <f t="shared" si="3"/>
        <v>#DIV/0!</v>
      </c>
      <c r="O28" s="704" t="e">
        <f t="shared" si="4"/>
        <v>#DIV/0!</v>
      </c>
      <c r="P28" s="636"/>
      <c r="Q28" s="636"/>
      <c r="R28" s="636"/>
      <c r="S28" s="636"/>
      <c r="T28" s="635"/>
      <c r="U28" s="625"/>
    </row>
    <row r="29" spans="1:31">
      <c r="B29" s="601" t="s">
        <v>781</v>
      </c>
      <c r="C29" s="597"/>
      <c r="D29" s="756">
        <v>1.4830000000000001</v>
      </c>
      <c r="E29" s="757">
        <v>1.4830000000000001</v>
      </c>
      <c r="F29" s="757">
        <v>1.4830000000000001</v>
      </c>
      <c r="G29" s="758">
        <v>1.4830000000000001</v>
      </c>
      <c r="H29" s="759">
        <v>1.4830000000000001</v>
      </c>
      <c r="I29" s="520"/>
      <c r="J29" s="520"/>
      <c r="K29" s="702" t="e">
        <f t="shared" si="0"/>
        <v>#DIV/0!</v>
      </c>
      <c r="L29" s="703" t="e">
        <f t="shared" si="1"/>
        <v>#DIV/0!</v>
      </c>
      <c r="M29" s="703" t="e">
        <f t="shared" si="2"/>
        <v>#DIV/0!</v>
      </c>
      <c r="N29" s="703" t="e">
        <f t="shared" si="3"/>
        <v>#DIV/0!</v>
      </c>
      <c r="O29" s="704" t="e">
        <f t="shared" si="4"/>
        <v>#DIV/0!</v>
      </c>
      <c r="P29" s="636"/>
      <c r="Q29" s="636"/>
      <c r="R29" s="636"/>
      <c r="S29" s="636"/>
      <c r="T29" s="635"/>
      <c r="U29" s="625"/>
    </row>
    <row r="30" spans="1:31">
      <c r="B30" s="601" t="s">
        <v>782</v>
      </c>
      <c r="C30" s="597"/>
      <c r="D30" s="756">
        <v>0.26700000000000002</v>
      </c>
      <c r="E30" s="757">
        <v>0.26700000000000002</v>
      </c>
      <c r="F30" s="757">
        <v>0.26700000000000002</v>
      </c>
      <c r="G30" s="758">
        <v>0.26700000000000002</v>
      </c>
      <c r="H30" s="759">
        <v>0.26700000000000002</v>
      </c>
      <c r="I30" s="520"/>
      <c r="J30" s="520"/>
      <c r="K30" s="702" t="e">
        <f t="shared" si="0"/>
        <v>#DIV/0!</v>
      </c>
      <c r="L30" s="703" t="e">
        <f t="shared" si="1"/>
        <v>#DIV/0!</v>
      </c>
      <c r="M30" s="703" t="e">
        <f t="shared" si="2"/>
        <v>#DIV/0!</v>
      </c>
      <c r="N30" s="703" t="e">
        <f t="shared" si="3"/>
        <v>#DIV/0!</v>
      </c>
      <c r="O30" s="704" t="e">
        <f t="shared" si="4"/>
        <v>#DIV/0!</v>
      </c>
      <c r="P30" s="636"/>
      <c r="Q30" s="636"/>
      <c r="R30" s="636"/>
      <c r="S30" s="636"/>
      <c r="T30" s="635"/>
      <c r="U30" s="625"/>
    </row>
    <row r="31" spans="1:31">
      <c r="B31" s="601" t="s">
        <v>773</v>
      </c>
      <c r="C31" s="597"/>
      <c r="D31" s="752">
        <v>20.568969827537572</v>
      </c>
      <c r="E31" s="753">
        <v>20.936845656849016</v>
      </c>
      <c r="F31" s="753">
        <v>21.199549599998395</v>
      </c>
      <c r="G31" s="754">
        <v>22.160199588219566</v>
      </c>
      <c r="H31" s="755">
        <v>22.511609019281664</v>
      </c>
      <c r="I31" s="520"/>
      <c r="J31" s="520"/>
      <c r="K31" s="702" t="e">
        <f t="shared" si="0"/>
        <v>#DIV/0!</v>
      </c>
      <c r="L31" s="703" t="e">
        <f t="shared" si="1"/>
        <v>#DIV/0!</v>
      </c>
      <c r="M31" s="703" t="e">
        <f t="shared" si="2"/>
        <v>#DIV/0!</v>
      </c>
      <c r="N31" s="703" t="e">
        <f t="shared" si="3"/>
        <v>#DIV/0!</v>
      </c>
      <c r="O31" s="704" t="e">
        <f t="shared" si="4"/>
        <v>#DIV/0!</v>
      </c>
      <c r="P31" s="636"/>
      <c r="Q31" s="636"/>
      <c r="R31" s="636"/>
      <c r="S31" s="636"/>
      <c r="T31" s="635"/>
      <c r="U31" s="625"/>
    </row>
    <row r="32" spans="1:31">
      <c r="B32" s="601" t="s">
        <v>774</v>
      </c>
      <c r="C32" s="597"/>
      <c r="D32" s="695">
        <v>8.9220000000000006</v>
      </c>
      <c r="E32" s="696">
        <v>7.6150000000000002</v>
      </c>
      <c r="F32" s="696">
        <v>7.6420000000000003</v>
      </c>
      <c r="G32" s="705">
        <v>4.3529999999999998</v>
      </c>
      <c r="H32" s="697">
        <v>2.08</v>
      </c>
      <c r="I32" s="520"/>
      <c r="J32" s="520"/>
      <c r="K32" s="702" t="e">
        <f t="shared" si="0"/>
        <v>#DIV/0!</v>
      </c>
      <c r="L32" s="703" t="e">
        <f t="shared" si="1"/>
        <v>#DIV/0!</v>
      </c>
      <c r="M32" s="703" t="e">
        <f t="shared" si="2"/>
        <v>#DIV/0!</v>
      </c>
      <c r="N32" s="703" t="e">
        <f t="shared" si="3"/>
        <v>#DIV/0!</v>
      </c>
      <c r="O32" s="704" t="e">
        <f t="shared" si="4"/>
        <v>#DIV/0!</v>
      </c>
      <c r="P32" s="636"/>
      <c r="Q32" s="636"/>
      <c r="R32" s="636"/>
      <c r="S32" s="636"/>
      <c r="T32" s="635"/>
      <c r="U32" s="625"/>
    </row>
    <row r="33" spans="1:28">
      <c r="B33" s="714" t="s">
        <v>776</v>
      </c>
      <c r="C33" s="592"/>
      <c r="D33" s="695"/>
      <c r="E33" s="696"/>
      <c r="F33" s="696"/>
      <c r="G33" s="705"/>
      <c r="H33" s="697"/>
      <c r="I33" s="520"/>
      <c r="J33" s="520"/>
      <c r="K33" s="702" t="e">
        <f t="shared" ref="K33:O34" si="5">D33/$C$15</f>
        <v>#DIV/0!</v>
      </c>
      <c r="L33" s="703" t="e">
        <f t="shared" si="5"/>
        <v>#DIV/0!</v>
      </c>
      <c r="M33" s="703" t="e">
        <f t="shared" si="5"/>
        <v>#DIV/0!</v>
      </c>
      <c r="N33" s="703" t="e">
        <f t="shared" si="5"/>
        <v>#DIV/0!</v>
      </c>
      <c r="O33" s="704" t="e">
        <f t="shared" si="5"/>
        <v>#DIV/0!</v>
      </c>
      <c r="P33" s="636"/>
      <c r="Q33" s="636"/>
      <c r="R33" s="636"/>
      <c r="S33" s="636"/>
      <c r="T33" s="635"/>
      <c r="U33" s="625"/>
    </row>
    <row r="34" spans="1:28" ht="15.75" thickBot="1">
      <c r="B34" s="714"/>
      <c r="C34" s="637"/>
      <c r="D34" s="695"/>
      <c r="E34" s="696"/>
      <c r="F34" s="696"/>
      <c r="G34" s="705"/>
      <c r="H34" s="697"/>
      <c r="I34" s="520"/>
      <c r="J34" s="520"/>
      <c r="K34" s="702" t="e">
        <f t="shared" si="5"/>
        <v>#DIV/0!</v>
      </c>
      <c r="L34" s="703" t="e">
        <f t="shared" si="5"/>
        <v>#DIV/0!</v>
      </c>
      <c r="M34" s="703" t="e">
        <f t="shared" si="5"/>
        <v>#DIV/0!</v>
      </c>
      <c r="N34" s="703" t="e">
        <f t="shared" si="5"/>
        <v>#DIV/0!</v>
      </c>
      <c r="O34" s="704" t="e">
        <f t="shared" si="5"/>
        <v>#DIV/0!</v>
      </c>
      <c r="P34" s="636"/>
      <c r="Q34" s="636"/>
      <c r="R34" s="636"/>
      <c r="S34" s="636"/>
      <c r="T34" s="635"/>
      <c r="U34" s="625"/>
    </row>
    <row r="35" spans="1:28" s="520" customFormat="1" ht="15.75" thickBot="1">
      <c r="A35" s="521"/>
      <c r="B35" s="589" t="s">
        <v>761</v>
      </c>
      <c r="C35" s="588"/>
      <c r="D35" s="698">
        <f>D24-SUM(D26:D32)+SUM(D33:D34)</f>
        <v>50.61303017246243</v>
      </c>
      <c r="E35" s="698">
        <f>E24-SUM(E26:E32)+SUM(E33:E34)</f>
        <v>60.412154343150981</v>
      </c>
      <c r="F35" s="698">
        <f>F24-SUM(F26:F32)+SUM(F33:F34)</f>
        <v>60.874450400001606</v>
      </c>
      <c r="G35" s="698">
        <f>G24-SUM(G26:G32)+SUM(G33:G34)</f>
        <v>61.050800411780436</v>
      </c>
      <c r="H35" s="751">
        <f>H24-SUM(H26:H32)+SUM(H33:H34)</f>
        <v>60.948390980718344</v>
      </c>
      <c r="K35" s="698" t="e">
        <f>+SUM(K24:K34)</f>
        <v>#DIV/0!</v>
      </c>
      <c r="L35" s="698" t="e">
        <f>+SUM(L24:L34)</f>
        <v>#DIV/0!</v>
      </c>
      <c r="M35" s="698" t="e">
        <f>+SUM(M24:M34)</f>
        <v>#DIV/0!</v>
      </c>
      <c r="N35" s="698" t="e">
        <f>+SUM(N24:N34)</f>
        <v>#DIV/0!</v>
      </c>
      <c r="O35" s="698" t="e">
        <f>+SUM(O24:O34)</f>
        <v>#DIV/0!</v>
      </c>
      <c r="P35" s="634"/>
      <c r="Q35" s="634"/>
      <c r="R35" s="634"/>
      <c r="S35" s="634"/>
      <c r="T35" s="633"/>
      <c r="U35" s="625"/>
    </row>
    <row r="36" spans="1:28" s="520" customFormat="1" ht="15.75" thickBot="1">
      <c r="A36" s="521"/>
      <c r="B36" s="632"/>
      <c r="C36" s="628"/>
      <c r="D36" s="631"/>
      <c r="E36" s="631"/>
      <c r="F36" s="631"/>
      <c r="G36" s="631"/>
      <c r="H36" s="630"/>
      <c r="I36" s="629"/>
      <c r="J36" s="628"/>
      <c r="K36" s="628"/>
      <c r="L36" s="628"/>
      <c r="M36" s="628"/>
      <c r="N36" s="628"/>
      <c r="O36" s="628"/>
      <c r="P36" s="627"/>
      <c r="Q36" s="627"/>
      <c r="R36" s="627"/>
      <c r="S36" s="627"/>
      <c r="T36" s="626"/>
      <c r="U36" s="625"/>
    </row>
    <row r="37" spans="1:28" s="620" customFormat="1" ht="25.5" customHeight="1" thickBot="1">
      <c r="B37" s="525" t="s">
        <v>760</v>
      </c>
      <c r="C37" s="624"/>
      <c r="D37" s="624"/>
      <c r="E37" s="624"/>
      <c r="F37" s="624"/>
      <c r="G37" s="624"/>
      <c r="H37" s="624"/>
      <c r="I37" s="624"/>
      <c r="J37" s="624"/>
      <c r="K37" s="624"/>
      <c r="L37" s="624"/>
      <c r="M37" s="624"/>
      <c r="N37" s="624"/>
      <c r="O37" s="624"/>
      <c r="P37" s="624"/>
      <c r="Q37" s="624"/>
      <c r="R37" s="624"/>
      <c r="S37" s="624"/>
      <c r="T37" s="623"/>
      <c r="U37" s="522"/>
      <c r="V37" s="520"/>
      <c r="W37" s="520"/>
      <c r="X37" s="520"/>
      <c r="Y37" s="520"/>
      <c r="Z37" s="520"/>
      <c r="AA37" s="520"/>
      <c r="AB37" s="520"/>
    </row>
    <row r="38" spans="1:28" s="620" customFormat="1" ht="25.5" customHeight="1">
      <c r="B38" s="618"/>
      <c r="C38" s="622"/>
      <c r="D38" s="804" t="s">
        <v>766</v>
      </c>
      <c r="E38" s="805"/>
      <c r="F38" s="805"/>
      <c r="G38" s="805"/>
      <c r="H38" s="806"/>
      <c r="I38" s="621"/>
      <c r="J38" s="621"/>
      <c r="K38" s="804" t="s">
        <v>766</v>
      </c>
      <c r="L38" s="805"/>
      <c r="M38" s="805"/>
      <c r="N38" s="805"/>
      <c r="O38" s="806"/>
      <c r="P38" s="794" t="s">
        <v>769</v>
      </c>
      <c r="Q38" s="795"/>
      <c r="R38" s="795"/>
      <c r="S38" s="795"/>
      <c r="T38" s="796"/>
      <c r="U38" s="522"/>
      <c r="V38" s="520"/>
      <c r="W38" s="520"/>
      <c r="X38" s="520"/>
      <c r="Y38" s="520"/>
      <c r="Z38" s="520"/>
      <c r="AA38" s="520"/>
      <c r="AB38" s="520"/>
    </row>
    <row r="39" spans="1:28" s="522" customFormat="1" thickBot="1">
      <c r="B39" s="618"/>
      <c r="C39" s="619"/>
      <c r="D39" s="797" t="s">
        <v>750</v>
      </c>
      <c r="E39" s="798"/>
      <c r="F39" s="798"/>
      <c r="G39" s="798"/>
      <c r="H39" s="799"/>
      <c r="I39" s="616"/>
      <c r="J39" s="616"/>
      <c r="K39" s="797" t="s">
        <v>758</v>
      </c>
      <c r="L39" s="798"/>
      <c r="M39" s="798"/>
      <c r="N39" s="798"/>
      <c r="O39" s="799"/>
      <c r="P39" s="646"/>
      <c r="Q39" s="645"/>
      <c r="R39" s="645"/>
      <c r="S39" s="645"/>
      <c r="T39" s="644"/>
      <c r="V39" s="520"/>
      <c r="W39" s="520"/>
      <c r="X39" s="520"/>
      <c r="Y39" s="520"/>
      <c r="Z39" s="520"/>
      <c r="AA39" s="520"/>
      <c r="AB39" s="520"/>
    </row>
    <row r="40" spans="1:28" s="522" customFormat="1" thickBot="1">
      <c r="B40" s="618"/>
      <c r="C40" s="617"/>
      <c r="D40" s="564">
        <v>2021</v>
      </c>
      <c r="E40" s="563">
        <v>2022</v>
      </c>
      <c r="F40" s="563">
        <v>2023</v>
      </c>
      <c r="G40" s="563">
        <v>2024</v>
      </c>
      <c r="H40" s="562">
        <v>2025</v>
      </c>
      <c r="I40" s="616"/>
      <c r="J40" s="616"/>
      <c r="K40" s="564">
        <v>2021</v>
      </c>
      <c r="L40" s="563">
        <v>2022</v>
      </c>
      <c r="M40" s="563">
        <v>2023</v>
      </c>
      <c r="N40" s="563">
        <v>2024</v>
      </c>
      <c r="O40" s="562">
        <v>2025</v>
      </c>
      <c r="P40" s="561">
        <v>2026</v>
      </c>
      <c r="Q40" s="560">
        <v>2027</v>
      </c>
      <c r="R40" s="560">
        <v>2028</v>
      </c>
      <c r="S40" s="560">
        <v>2029</v>
      </c>
      <c r="T40" s="559">
        <v>2030</v>
      </c>
      <c r="V40" s="520"/>
      <c r="W40" s="520"/>
      <c r="X40" s="520"/>
      <c r="Y40" s="520"/>
      <c r="Z40" s="520"/>
      <c r="AA40" s="520"/>
      <c r="AB40" s="520"/>
    </row>
    <row r="41" spans="1:28" s="520" customFormat="1">
      <c r="A41" s="521"/>
      <c r="B41" s="615" t="s">
        <v>754</v>
      </c>
      <c r="C41" s="614"/>
      <c r="D41" s="695"/>
      <c r="E41" s="696"/>
      <c r="F41" s="696"/>
      <c r="G41" s="705"/>
      <c r="H41" s="613"/>
      <c r="K41" s="711" t="e">
        <f>+D41/D$15*(1+D$14)^0.5</f>
        <v>#DIV/0!</v>
      </c>
      <c r="L41" s="712" t="e">
        <f>+E41/E$15*(1+E$14)^0.5</f>
        <v>#DIV/0!</v>
      </c>
      <c r="M41" s="712" t="e">
        <f>+F41/F$15*(1+F$14)^0.5</f>
        <v>#DIV/0!</v>
      </c>
      <c r="N41" s="713">
        <f>+G41/G$15*(1+G$14)^0.5</f>
        <v>0</v>
      </c>
      <c r="O41" s="612"/>
      <c r="P41" s="580"/>
      <c r="Q41" s="580"/>
      <c r="R41" s="580"/>
      <c r="S41" s="580"/>
      <c r="T41" s="579"/>
      <c r="U41" s="519"/>
    </row>
    <row r="42" spans="1:28" s="520" customFormat="1">
      <c r="A42" s="521"/>
      <c r="B42" s="611" t="s">
        <v>749</v>
      </c>
      <c r="C42" s="610"/>
      <c r="D42" s="609"/>
      <c r="E42" s="608"/>
      <c r="F42" s="608"/>
      <c r="G42" s="607"/>
      <c r="H42" s="593"/>
      <c r="K42" s="606"/>
      <c r="L42" s="605"/>
      <c r="M42" s="605"/>
      <c r="N42" s="604"/>
      <c r="O42" s="603"/>
      <c r="P42" s="580"/>
      <c r="Q42" s="580"/>
      <c r="R42" s="580"/>
      <c r="S42" s="580"/>
      <c r="T42" s="579"/>
      <c r="U42" s="574"/>
    </row>
    <row r="43" spans="1:28" s="520" customFormat="1">
      <c r="A43" s="521"/>
      <c r="B43" s="601" t="s">
        <v>778</v>
      </c>
      <c r="C43" s="597"/>
      <c r="D43" s="695"/>
      <c r="E43" s="696"/>
      <c r="F43" s="696"/>
      <c r="G43" s="705"/>
      <c r="H43" s="593"/>
      <c r="K43" s="716" t="e">
        <f t="shared" ref="K43:N52" si="6">-D43/D$15*(1+D$14)^0.5</f>
        <v>#DIV/0!</v>
      </c>
      <c r="L43" s="717" t="e">
        <f t="shared" si="6"/>
        <v>#DIV/0!</v>
      </c>
      <c r="M43" s="717" t="e">
        <f t="shared" si="6"/>
        <v>#DIV/0!</v>
      </c>
      <c r="N43" s="718">
        <f t="shared" si="6"/>
        <v>0</v>
      </c>
      <c r="O43" s="602"/>
      <c r="P43" s="580"/>
      <c r="Q43" s="580"/>
      <c r="R43" s="580"/>
      <c r="S43" s="580"/>
      <c r="T43" s="579"/>
      <c r="U43" s="531"/>
    </row>
    <row r="44" spans="1:28" s="520" customFormat="1">
      <c r="A44" s="521"/>
      <c r="B44" s="601" t="s">
        <v>779</v>
      </c>
      <c r="C44" s="597"/>
      <c r="D44" s="695"/>
      <c r="E44" s="696"/>
      <c r="F44" s="696"/>
      <c r="G44" s="705"/>
      <c r="H44" s="593"/>
      <c r="K44" s="716" t="e">
        <f t="shared" ref="K44:N47" si="7">-D44/D$15*(1+D$14)^0.5</f>
        <v>#DIV/0!</v>
      </c>
      <c r="L44" s="717" t="e">
        <f t="shared" si="7"/>
        <v>#DIV/0!</v>
      </c>
      <c r="M44" s="717" t="e">
        <f t="shared" si="7"/>
        <v>#DIV/0!</v>
      </c>
      <c r="N44" s="718">
        <f t="shared" si="7"/>
        <v>0</v>
      </c>
      <c r="O44" s="602"/>
      <c r="P44" s="580"/>
      <c r="Q44" s="580"/>
      <c r="R44" s="580"/>
      <c r="S44" s="580"/>
      <c r="T44" s="579"/>
      <c r="U44" s="531"/>
    </row>
    <row r="45" spans="1:28" s="520" customFormat="1">
      <c r="A45" s="521"/>
      <c r="B45" s="601" t="s">
        <v>780</v>
      </c>
      <c r="C45" s="597"/>
      <c r="D45" s="695"/>
      <c r="E45" s="696"/>
      <c r="F45" s="696"/>
      <c r="G45" s="705"/>
      <c r="H45" s="593"/>
      <c r="K45" s="716" t="e">
        <f t="shared" si="7"/>
        <v>#DIV/0!</v>
      </c>
      <c r="L45" s="717" t="e">
        <f t="shared" si="7"/>
        <v>#DIV/0!</v>
      </c>
      <c r="M45" s="717" t="e">
        <f t="shared" si="7"/>
        <v>#DIV/0!</v>
      </c>
      <c r="N45" s="718">
        <f t="shared" si="7"/>
        <v>0</v>
      </c>
      <c r="O45" s="602"/>
      <c r="P45" s="580"/>
      <c r="Q45" s="580"/>
      <c r="R45" s="580"/>
      <c r="S45" s="580"/>
      <c r="T45" s="579"/>
      <c r="U45" s="531"/>
    </row>
    <row r="46" spans="1:28" s="520" customFormat="1">
      <c r="A46" s="521"/>
      <c r="B46" s="601" t="s">
        <v>781</v>
      </c>
      <c r="C46" s="597"/>
      <c r="D46" s="695"/>
      <c r="E46" s="696"/>
      <c r="F46" s="696"/>
      <c r="G46" s="705"/>
      <c r="H46" s="593"/>
      <c r="K46" s="716" t="e">
        <f t="shared" si="7"/>
        <v>#DIV/0!</v>
      </c>
      <c r="L46" s="717" t="e">
        <f t="shared" si="7"/>
        <v>#DIV/0!</v>
      </c>
      <c r="M46" s="717" t="e">
        <f t="shared" si="7"/>
        <v>#DIV/0!</v>
      </c>
      <c r="N46" s="718">
        <f t="shared" si="7"/>
        <v>0</v>
      </c>
      <c r="O46" s="602"/>
      <c r="P46" s="580"/>
      <c r="Q46" s="580"/>
      <c r="R46" s="580"/>
      <c r="S46" s="580"/>
      <c r="T46" s="579"/>
      <c r="U46" s="531"/>
    </row>
    <row r="47" spans="1:28" s="520" customFormat="1">
      <c r="A47" s="521"/>
      <c r="B47" s="601" t="s">
        <v>782</v>
      </c>
      <c r="C47" s="597"/>
      <c r="D47" s="695"/>
      <c r="E47" s="696"/>
      <c r="F47" s="696"/>
      <c r="G47" s="705"/>
      <c r="H47" s="593"/>
      <c r="K47" s="716" t="e">
        <f t="shared" si="7"/>
        <v>#DIV/0!</v>
      </c>
      <c r="L47" s="717" t="e">
        <f t="shared" si="7"/>
        <v>#DIV/0!</v>
      </c>
      <c r="M47" s="717" t="e">
        <f t="shared" si="7"/>
        <v>#DIV/0!</v>
      </c>
      <c r="N47" s="718">
        <f t="shared" si="7"/>
        <v>0</v>
      </c>
      <c r="O47" s="602"/>
      <c r="P47" s="580"/>
      <c r="Q47" s="580"/>
      <c r="R47" s="580"/>
      <c r="S47" s="580"/>
      <c r="T47" s="579"/>
      <c r="U47" s="531"/>
    </row>
    <row r="48" spans="1:28" s="520" customFormat="1">
      <c r="A48" s="521"/>
      <c r="B48" s="601" t="s">
        <v>773</v>
      </c>
      <c r="C48" s="597"/>
      <c r="D48" s="600"/>
      <c r="E48" s="599"/>
      <c r="F48" s="599"/>
      <c r="G48" s="598"/>
      <c r="H48" s="593"/>
      <c r="K48" s="716" t="e">
        <f t="shared" si="6"/>
        <v>#DIV/0!</v>
      </c>
      <c r="L48" s="717" t="e">
        <f t="shared" si="6"/>
        <v>#DIV/0!</v>
      </c>
      <c r="M48" s="717" t="e">
        <f t="shared" si="6"/>
        <v>#DIV/0!</v>
      </c>
      <c r="N48" s="718">
        <f t="shared" si="6"/>
        <v>0</v>
      </c>
      <c r="O48" s="590"/>
      <c r="P48" s="580"/>
      <c r="Q48" s="580"/>
      <c r="R48" s="580"/>
      <c r="S48" s="580"/>
      <c r="T48" s="579"/>
      <c r="U48" s="531"/>
    </row>
    <row r="49" spans="1:29" s="520" customFormat="1">
      <c r="A49" s="521"/>
      <c r="B49" s="601" t="s">
        <v>774</v>
      </c>
      <c r="C49" s="597"/>
      <c r="D49" s="687"/>
      <c r="E49" s="688"/>
      <c r="F49" s="688"/>
      <c r="G49" s="689"/>
      <c r="H49" s="593"/>
      <c r="K49" s="716" t="e">
        <f t="shared" si="6"/>
        <v>#DIV/0!</v>
      </c>
      <c r="L49" s="717" t="e">
        <f t="shared" si="6"/>
        <v>#DIV/0!</v>
      </c>
      <c r="M49" s="717" t="e">
        <f t="shared" si="6"/>
        <v>#DIV/0!</v>
      </c>
      <c r="N49" s="718">
        <f t="shared" si="6"/>
        <v>0</v>
      </c>
      <c r="O49" s="590"/>
      <c r="P49" s="580"/>
      <c r="Q49" s="580"/>
      <c r="R49" s="580"/>
      <c r="S49" s="580"/>
      <c r="T49" s="579"/>
      <c r="U49" s="531"/>
    </row>
    <row r="50" spans="1:29" s="520" customFormat="1">
      <c r="A50" s="521"/>
      <c r="B50" s="714" t="s">
        <v>776</v>
      </c>
      <c r="C50" s="597"/>
      <c r="D50" s="596"/>
      <c r="E50" s="595"/>
      <c r="F50" s="595"/>
      <c r="G50" s="594"/>
      <c r="H50" s="593"/>
      <c r="K50" s="719" t="e">
        <f t="shared" si="6"/>
        <v>#DIV/0!</v>
      </c>
      <c r="L50" s="720" t="e">
        <f t="shared" si="6"/>
        <v>#DIV/0!</v>
      </c>
      <c r="M50" s="720" t="e">
        <f t="shared" si="6"/>
        <v>#DIV/0!</v>
      </c>
      <c r="N50" s="721">
        <f t="shared" si="6"/>
        <v>0</v>
      </c>
      <c r="O50" s="590"/>
      <c r="P50" s="580"/>
      <c r="Q50" s="580"/>
      <c r="R50" s="580"/>
      <c r="S50" s="580"/>
      <c r="T50" s="579"/>
      <c r="U50" s="531"/>
    </row>
    <row r="51" spans="1:29" s="520" customFormat="1">
      <c r="A51" s="521"/>
      <c r="B51" s="714" t="s">
        <v>775</v>
      </c>
      <c r="C51" s="597"/>
      <c r="D51" s="596"/>
      <c r="E51" s="595"/>
      <c r="F51" s="595"/>
      <c r="G51" s="594"/>
      <c r="H51" s="593"/>
      <c r="K51" s="719" t="e">
        <f t="shared" si="6"/>
        <v>#DIV/0!</v>
      </c>
      <c r="L51" s="720" t="e">
        <f t="shared" si="6"/>
        <v>#DIV/0!</v>
      </c>
      <c r="M51" s="720" t="e">
        <f t="shared" si="6"/>
        <v>#DIV/0!</v>
      </c>
      <c r="N51" s="721">
        <f t="shared" si="6"/>
        <v>0</v>
      </c>
      <c r="O51" s="590"/>
      <c r="P51" s="580"/>
      <c r="Q51" s="580"/>
      <c r="R51" s="580"/>
      <c r="S51" s="580"/>
      <c r="T51" s="579"/>
      <c r="U51" s="531"/>
    </row>
    <row r="52" spans="1:29" s="520" customFormat="1" ht="15.75" thickBot="1">
      <c r="A52" s="521"/>
      <c r="B52" s="715"/>
      <c r="C52" s="592"/>
      <c r="D52" s="706"/>
      <c r="E52" s="707"/>
      <c r="F52" s="707"/>
      <c r="G52" s="708"/>
      <c r="H52" s="591"/>
      <c r="K52" s="719" t="e">
        <f t="shared" si="6"/>
        <v>#DIV/0!</v>
      </c>
      <c r="L52" s="720" t="e">
        <f t="shared" si="6"/>
        <v>#DIV/0!</v>
      </c>
      <c r="M52" s="720" t="e">
        <f t="shared" si="6"/>
        <v>#DIV/0!</v>
      </c>
      <c r="N52" s="721">
        <f t="shared" si="6"/>
        <v>0</v>
      </c>
      <c r="O52" s="590"/>
      <c r="P52" s="580"/>
      <c r="Q52" s="580"/>
      <c r="R52" s="580"/>
      <c r="S52" s="580"/>
      <c r="T52" s="579"/>
      <c r="U52" s="531"/>
    </row>
    <row r="53" spans="1:29" s="520" customFormat="1" ht="15.75" thickBot="1">
      <c r="A53" s="521"/>
      <c r="B53" s="589" t="s">
        <v>762</v>
      </c>
      <c r="C53" s="588"/>
      <c r="D53" s="709">
        <f>+D41-SUM(D43:D52)</f>
        <v>0</v>
      </c>
      <c r="E53" s="709">
        <f>+E41-SUM(E43:E52)</f>
        <v>0</v>
      </c>
      <c r="F53" s="709">
        <f>+F41-SUM(F43:F52)</f>
        <v>0</v>
      </c>
      <c r="G53" s="710">
        <f>+G41-SUM(G43:G52)</f>
        <v>0</v>
      </c>
      <c r="H53" s="587"/>
      <c r="K53" s="722" t="e">
        <f>K41+SUM(K43:K52)</f>
        <v>#DIV/0!</v>
      </c>
      <c r="L53" s="723" t="e">
        <f>L41+SUM(L43:L52)</f>
        <v>#DIV/0!</v>
      </c>
      <c r="M53" s="723" t="e">
        <f>M41+SUM(M43:M52)</f>
        <v>#DIV/0!</v>
      </c>
      <c r="N53" s="724">
        <f>N41+SUM(N43:N52)</f>
        <v>0</v>
      </c>
      <c r="O53" s="724" t="e">
        <f>O35+N53-N35</f>
        <v>#DIV/0!</v>
      </c>
      <c r="P53" s="577"/>
      <c r="Q53" s="577"/>
      <c r="R53" s="577"/>
      <c r="S53" s="577"/>
      <c r="T53" s="576"/>
      <c r="U53" s="531"/>
    </row>
    <row r="54" spans="1:29" s="520" customFormat="1" ht="39.950000000000003" customHeight="1" thickBot="1">
      <c r="A54" s="521"/>
      <c r="B54" s="549"/>
      <c r="C54" s="586"/>
      <c r="D54" s="549"/>
      <c r="E54" s="549"/>
      <c r="F54" s="549"/>
      <c r="G54" s="549"/>
      <c r="H54" s="549"/>
      <c r="J54" s="549"/>
      <c r="K54" s="549"/>
      <c r="L54" s="549"/>
      <c r="M54" s="549"/>
      <c r="N54" s="585"/>
      <c r="O54" s="584"/>
      <c r="P54" s="583"/>
      <c r="Q54" s="583"/>
      <c r="R54" s="583"/>
      <c r="S54" s="583"/>
      <c r="T54" s="583"/>
      <c r="U54" s="531"/>
    </row>
    <row r="55" spans="1:29" s="522" customFormat="1" ht="18.75" thickBot="1">
      <c r="B55" s="567"/>
      <c r="C55" s="567"/>
      <c r="D55" s="567"/>
      <c r="E55" s="567"/>
      <c r="F55" s="567"/>
      <c r="G55" s="567"/>
      <c r="H55" s="565"/>
      <c r="J55" s="565"/>
      <c r="K55" s="725" t="s">
        <v>772</v>
      </c>
      <c r="L55" s="571"/>
      <c r="M55" s="571"/>
      <c r="N55" s="571"/>
      <c r="O55" s="571"/>
      <c r="P55" s="571"/>
      <c r="Q55" s="571"/>
      <c r="R55" s="571"/>
      <c r="S55" s="571"/>
      <c r="T55" s="570"/>
      <c r="U55" s="578"/>
      <c r="V55" s="520"/>
      <c r="W55" s="520"/>
      <c r="X55" s="520"/>
      <c r="Y55" s="520"/>
      <c r="Z55" s="520"/>
      <c r="AA55" s="520"/>
      <c r="AB55" s="520"/>
    </row>
    <row r="56" spans="1:29" s="522" customFormat="1" thickBot="1">
      <c r="B56" s="567"/>
      <c r="C56" s="567"/>
      <c r="D56" s="567"/>
      <c r="E56" s="567"/>
      <c r="F56" s="567"/>
      <c r="G56" s="567"/>
      <c r="H56" s="565"/>
      <c r="J56" s="565"/>
      <c r="K56" s="797" t="s">
        <v>758</v>
      </c>
      <c r="L56" s="798"/>
      <c r="M56" s="798"/>
      <c r="N56" s="798"/>
      <c r="O56" s="799"/>
      <c r="P56" s="582"/>
      <c r="Q56" s="582"/>
      <c r="R56" s="582"/>
      <c r="S56" s="582"/>
      <c r="T56" s="581"/>
      <c r="U56" s="578"/>
      <c r="V56" s="520"/>
      <c r="W56" s="520"/>
      <c r="X56" s="520"/>
      <c r="Y56" s="520"/>
      <c r="Z56" s="520"/>
      <c r="AA56" s="520"/>
      <c r="AB56" s="520"/>
    </row>
    <row r="57" spans="1:29" s="522" customFormat="1" thickBot="1">
      <c r="B57" s="567"/>
      <c r="C57" s="567"/>
      <c r="D57" s="567"/>
      <c r="E57" s="567"/>
      <c r="F57" s="567"/>
      <c r="G57" s="567"/>
      <c r="H57" s="565"/>
      <c r="J57" s="565"/>
      <c r="K57" s="564">
        <v>2021</v>
      </c>
      <c r="L57" s="563">
        <v>2022</v>
      </c>
      <c r="M57" s="563">
        <v>2023</v>
      </c>
      <c r="N57" s="563">
        <v>2024</v>
      </c>
      <c r="O57" s="562">
        <v>2025</v>
      </c>
      <c r="P57" s="580"/>
      <c r="Q57" s="580"/>
      <c r="R57" s="580"/>
      <c r="S57" s="580"/>
      <c r="T57" s="579"/>
      <c r="U57" s="578"/>
      <c r="V57" s="520"/>
      <c r="W57" s="520"/>
      <c r="X57" s="520"/>
      <c r="Y57" s="520"/>
      <c r="Z57" s="520"/>
      <c r="AA57" s="520"/>
      <c r="AB57" s="520"/>
    </row>
    <row r="58" spans="1:29" s="520" customFormat="1" ht="15.75" thickBot="1">
      <c r="A58" s="521"/>
      <c r="B58" s="549"/>
      <c r="C58" s="549"/>
      <c r="D58" s="549"/>
      <c r="E58" s="549"/>
      <c r="F58" s="549"/>
      <c r="G58" s="549"/>
      <c r="H58" s="549"/>
      <c r="J58" s="565"/>
      <c r="K58" s="726" t="e">
        <f>(K35-K53)</f>
        <v>#DIV/0!</v>
      </c>
      <c r="L58" s="727" t="e">
        <f>(L35-L53)-(K35-K53)</f>
        <v>#DIV/0!</v>
      </c>
      <c r="M58" s="727" t="e">
        <f>(M35-M53)-(L35-L53)</f>
        <v>#DIV/0!</v>
      </c>
      <c r="N58" s="727" t="e">
        <f>(N35-N53)-(M35-M53)</f>
        <v>#DIV/0!</v>
      </c>
      <c r="O58" s="728" t="e">
        <f>(O35-O53)-(N35-N53)</f>
        <v>#DIV/0!</v>
      </c>
      <c r="P58" s="577"/>
      <c r="Q58" s="577"/>
      <c r="R58" s="577"/>
      <c r="S58" s="577"/>
      <c r="T58" s="576"/>
      <c r="U58" s="574"/>
    </row>
    <row r="59" spans="1:29" s="520" customFormat="1" ht="15.75" thickBot="1">
      <c r="A59" s="521"/>
      <c r="B59" s="549"/>
      <c r="C59" s="549"/>
      <c r="D59" s="549"/>
      <c r="E59" s="549"/>
      <c r="F59" s="549"/>
      <c r="G59" s="549"/>
      <c r="H59" s="549"/>
      <c r="J59" s="565"/>
      <c r="K59" s="575"/>
      <c r="L59" s="575"/>
      <c r="M59" s="575"/>
      <c r="N59" s="575"/>
      <c r="O59" s="575"/>
      <c r="P59" s="575"/>
      <c r="Q59" s="575"/>
      <c r="R59" s="575"/>
      <c r="S59" s="575"/>
      <c r="T59" s="575"/>
      <c r="U59" s="574"/>
    </row>
    <row r="60" spans="1:29" s="520" customFormat="1" ht="18.75" thickBot="1">
      <c r="A60" s="521"/>
      <c r="B60" s="519"/>
      <c r="C60" s="519"/>
      <c r="D60" s="549"/>
      <c r="E60" s="549"/>
      <c r="F60" s="549"/>
      <c r="G60" s="549"/>
      <c r="H60" s="549"/>
      <c r="J60" s="573"/>
      <c r="K60" s="572" t="s">
        <v>767</v>
      </c>
      <c r="L60" s="571"/>
      <c r="M60" s="571"/>
      <c r="N60" s="571"/>
      <c r="O60" s="571"/>
      <c r="P60" s="571"/>
      <c r="Q60" s="571"/>
      <c r="R60" s="571"/>
      <c r="S60" s="571"/>
      <c r="T60" s="570"/>
      <c r="U60" s="569"/>
    </row>
    <row r="61" spans="1:29" s="522" customFormat="1" ht="18.75" thickBot="1">
      <c r="B61" s="567"/>
      <c r="C61" s="567"/>
      <c r="D61" s="567"/>
      <c r="E61" s="567"/>
      <c r="F61" s="567"/>
      <c r="G61" s="567"/>
      <c r="H61" s="566"/>
      <c r="J61" s="565"/>
      <c r="K61" s="800" t="s">
        <v>758</v>
      </c>
      <c r="L61" s="801"/>
      <c r="M61" s="801"/>
      <c r="N61" s="801"/>
      <c r="O61" s="801"/>
      <c r="P61" s="801"/>
      <c r="Q61" s="802"/>
      <c r="R61" s="802"/>
      <c r="S61" s="802"/>
      <c r="T61" s="803"/>
      <c r="U61" s="568" t="s">
        <v>748</v>
      </c>
      <c r="V61" s="557"/>
      <c r="W61" s="520"/>
      <c r="X61" s="520"/>
      <c r="Y61" s="520"/>
      <c r="Z61" s="520"/>
      <c r="AA61" s="520"/>
      <c r="AB61" s="520"/>
      <c r="AC61" s="520"/>
    </row>
    <row r="62" spans="1:29" s="522" customFormat="1" ht="18.75" thickBot="1">
      <c r="B62" s="567"/>
      <c r="C62" s="567"/>
      <c r="D62" s="567"/>
      <c r="E62" s="567"/>
      <c r="F62" s="567"/>
      <c r="G62" s="567"/>
      <c r="H62" s="566"/>
      <c r="J62" s="565"/>
      <c r="K62" s="564">
        <v>2021</v>
      </c>
      <c r="L62" s="563">
        <v>2022</v>
      </c>
      <c r="M62" s="563">
        <v>2023</v>
      </c>
      <c r="N62" s="563">
        <v>2024</v>
      </c>
      <c r="O62" s="562">
        <v>2025</v>
      </c>
      <c r="P62" s="561">
        <v>2026</v>
      </c>
      <c r="Q62" s="560">
        <v>2027</v>
      </c>
      <c r="R62" s="560">
        <v>2028</v>
      </c>
      <c r="S62" s="560">
        <v>2029</v>
      </c>
      <c r="T62" s="559">
        <v>2030</v>
      </c>
      <c r="U62" s="558"/>
      <c r="V62" s="557"/>
      <c r="W62" s="520"/>
      <c r="X62" s="520"/>
      <c r="Y62" s="520"/>
      <c r="Z62" s="520"/>
      <c r="AA62" s="520"/>
      <c r="AB62" s="520"/>
      <c r="AC62" s="520"/>
    </row>
    <row r="63" spans="1:29" s="520" customFormat="1" ht="15.75" thickBot="1">
      <c r="A63" s="521"/>
      <c r="B63" s="549"/>
      <c r="C63" s="549"/>
      <c r="D63" s="549"/>
      <c r="E63" s="549"/>
      <c r="F63" s="549"/>
      <c r="G63" s="549"/>
      <c r="H63" s="549"/>
      <c r="J63" s="556">
        <v>2016</v>
      </c>
      <c r="K63" s="555"/>
      <c r="L63" s="729" t="e">
        <f>$K$58</f>
        <v>#DIV/0!</v>
      </c>
      <c r="M63" s="712" t="e">
        <f>$K$58</f>
        <v>#DIV/0!</v>
      </c>
      <c r="N63" s="730" t="e">
        <f>$K$58</f>
        <v>#DIV/0!</v>
      </c>
      <c r="O63" s="731" t="e">
        <f>$K$58</f>
        <v>#DIV/0!</v>
      </c>
      <c r="P63" s="730" t="e">
        <f>$K$58</f>
        <v>#DIV/0!</v>
      </c>
      <c r="Q63" s="554"/>
      <c r="R63" s="553"/>
      <c r="S63" s="553"/>
      <c r="T63" s="552"/>
      <c r="U63" s="543"/>
    </row>
    <row r="64" spans="1:29" s="520" customFormat="1" ht="15.75" thickBot="1">
      <c r="A64" s="521"/>
      <c r="B64" s="549"/>
      <c r="C64" s="549"/>
      <c r="D64" s="549"/>
      <c r="E64" s="549"/>
      <c r="F64" s="549"/>
      <c r="G64" s="549"/>
      <c r="H64" s="549"/>
      <c r="J64" s="548">
        <v>2017</v>
      </c>
      <c r="K64" s="547"/>
      <c r="L64" s="545"/>
      <c r="M64" s="732" t="e">
        <f>$L$58</f>
        <v>#DIV/0!</v>
      </c>
      <c r="N64" s="733" t="e">
        <f>$L$58</f>
        <v>#DIV/0!</v>
      </c>
      <c r="O64" s="734" t="e">
        <f>$L$58</f>
        <v>#DIV/0!</v>
      </c>
      <c r="P64" s="733" t="e">
        <f>$L$58</f>
        <v>#DIV/0!</v>
      </c>
      <c r="Q64" s="735" t="e">
        <f>$L$58</f>
        <v>#DIV/0!</v>
      </c>
      <c r="R64" s="551"/>
      <c r="S64" s="546"/>
      <c r="T64" s="550"/>
      <c r="U64" s="543"/>
    </row>
    <row r="65" spans="1:21" s="520" customFormat="1" ht="15.75" thickBot="1">
      <c r="A65" s="521"/>
      <c r="B65" s="549"/>
      <c r="C65" s="549"/>
      <c r="D65" s="549"/>
      <c r="E65" s="549"/>
      <c r="F65" s="549"/>
      <c r="G65" s="549"/>
      <c r="H65" s="549"/>
      <c r="J65" s="548">
        <v>2018</v>
      </c>
      <c r="K65" s="547"/>
      <c r="L65" s="546"/>
      <c r="M65" s="545"/>
      <c r="N65" s="736" t="e">
        <f>$M$58</f>
        <v>#DIV/0!</v>
      </c>
      <c r="O65" s="734" t="e">
        <f>$M$58</f>
        <v>#DIV/0!</v>
      </c>
      <c r="P65" s="733" t="e">
        <f>$M$58</f>
        <v>#DIV/0!</v>
      </c>
      <c r="Q65" s="717" t="e">
        <f>$M$58</f>
        <v>#DIV/0!</v>
      </c>
      <c r="R65" s="737" t="e">
        <f>$M$58</f>
        <v>#DIV/0!</v>
      </c>
      <c r="S65" s="551"/>
      <c r="T65" s="550"/>
      <c r="U65" s="543"/>
    </row>
    <row r="66" spans="1:21" s="520" customFormat="1" ht="15.75" thickBot="1">
      <c r="A66" s="521"/>
      <c r="B66" s="549"/>
      <c r="C66" s="549"/>
      <c r="D66" s="549"/>
      <c r="E66" s="549"/>
      <c r="F66" s="549"/>
      <c r="G66" s="549"/>
      <c r="H66" s="549"/>
      <c r="J66" s="548">
        <v>2019</v>
      </c>
      <c r="K66" s="547"/>
      <c r="L66" s="546"/>
      <c r="M66" s="546"/>
      <c r="N66" s="545"/>
      <c r="O66" s="738" t="e">
        <f>$N$58</f>
        <v>#DIV/0!</v>
      </c>
      <c r="P66" s="739" t="e">
        <f>$N$58</f>
        <v>#DIV/0!</v>
      </c>
      <c r="Q66" s="720" t="e">
        <f>$N$58</f>
        <v>#DIV/0!</v>
      </c>
      <c r="R66" s="733" t="e">
        <f>$N$58</f>
        <v>#DIV/0!</v>
      </c>
      <c r="S66" s="735" t="e">
        <f>$N$58</f>
        <v>#DIV/0!</v>
      </c>
      <c r="T66" s="544"/>
      <c r="U66" s="543"/>
    </row>
    <row r="67" spans="1:21" s="520" customFormat="1" ht="15.75" thickBot="1">
      <c r="A67" s="521"/>
      <c r="B67" s="530"/>
      <c r="C67" s="530"/>
      <c r="D67" s="530"/>
      <c r="E67" s="534"/>
      <c r="F67" s="534"/>
      <c r="G67" s="534"/>
      <c r="H67" s="534"/>
      <c r="J67" s="542">
        <v>2020</v>
      </c>
      <c r="K67" s="541"/>
      <c r="L67" s="540"/>
      <c r="M67" s="540"/>
      <c r="N67" s="540"/>
      <c r="O67" s="539"/>
      <c r="P67" s="740" t="e">
        <f>+$O$58</f>
        <v>#DIV/0!</v>
      </c>
      <c r="Q67" s="741" t="e">
        <f>+$O$58</f>
        <v>#DIV/0!</v>
      </c>
      <c r="R67" s="740" t="e">
        <f>+$O$58</f>
        <v>#DIV/0!</v>
      </c>
      <c r="S67" s="742" t="e">
        <f>+$O$58</f>
        <v>#DIV/0!</v>
      </c>
      <c r="T67" s="728" t="e">
        <f>+$O$58</f>
        <v>#DIV/0!</v>
      </c>
      <c r="U67" s="538"/>
    </row>
    <row r="68" spans="1:21" s="520" customFormat="1" ht="15.75" customHeight="1" thickBot="1">
      <c r="A68" s="521"/>
      <c r="B68" s="530"/>
      <c r="C68" s="530"/>
      <c r="D68" s="530"/>
      <c r="E68" s="534"/>
      <c r="F68" s="534"/>
      <c r="G68" s="534"/>
      <c r="H68" s="534"/>
      <c r="J68" s="529" t="s">
        <v>770</v>
      </c>
      <c r="K68" s="537"/>
      <c r="L68" s="536"/>
      <c r="M68" s="536"/>
      <c r="N68" s="536"/>
      <c r="O68" s="535"/>
      <c r="P68" s="743" t="e">
        <f>+SUM(P63:P67)</f>
        <v>#DIV/0!</v>
      </c>
      <c r="Q68" s="744" t="e">
        <f>+SUM(Q63:Q67)</f>
        <v>#DIV/0!</v>
      </c>
      <c r="R68" s="745" t="e">
        <f>+SUM(R63:R67)</f>
        <v>#DIV/0!</v>
      </c>
      <c r="S68" s="746" t="e">
        <f>+SUM(S63:S67)</f>
        <v>#DIV/0!</v>
      </c>
      <c r="T68" s="743" t="e">
        <f>+SUM(T63:T67)</f>
        <v>#DIV/0!</v>
      </c>
      <c r="U68" s="749" t="e">
        <f>+SUM(P68:T68)</f>
        <v>#DIV/0!</v>
      </c>
    </row>
    <row r="69" spans="1:21" s="520" customFormat="1" ht="15.75" thickBot="1">
      <c r="A69" s="521"/>
      <c r="B69" s="530"/>
      <c r="C69" s="530"/>
      <c r="D69" s="530"/>
      <c r="E69" s="534"/>
      <c r="F69" s="534"/>
      <c r="G69" s="534"/>
      <c r="H69" s="534"/>
      <c r="J69" s="533"/>
      <c r="K69" s="533"/>
      <c r="L69" s="533"/>
      <c r="M69" s="533"/>
      <c r="N69" s="533"/>
      <c r="O69" s="533"/>
      <c r="P69" s="532"/>
      <c r="Q69" s="532"/>
      <c r="R69" s="532"/>
      <c r="S69" s="532"/>
      <c r="T69" s="532"/>
      <c r="U69" s="531"/>
    </row>
    <row r="70" spans="1:21" ht="15.75" thickBot="1">
      <c r="B70" s="530"/>
      <c r="C70" s="530"/>
      <c r="D70" s="530"/>
      <c r="E70" s="530"/>
      <c r="F70" s="530"/>
      <c r="G70" s="530"/>
      <c r="H70" s="530"/>
      <c r="I70" s="520"/>
      <c r="J70" s="529" t="s">
        <v>771</v>
      </c>
      <c r="K70" s="528"/>
      <c r="L70" s="527"/>
      <c r="M70" s="527"/>
      <c r="N70" s="527"/>
      <c r="O70" s="526"/>
      <c r="P70" s="747" t="e">
        <f>P68</f>
        <v>#DIV/0!</v>
      </c>
      <c r="Q70" s="748" t="e">
        <f>Q68</f>
        <v>#DIV/0!</v>
      </c>
      <c r="R70" s="746" t="e">
        <f>R68</f>
        <v>#DIV/0!</v>
      </c>
      <c r="S70" s="746" t="e">
        <f>S68</f>
        <v>#DIV/0!</v>
      </c>
      <c r="T70" s="747" t="e">
        <f>T68</f>
        <v>#DIV/0!</v>
      </c>
      <c r="U70" s="750" t="e">
        <f>+SUM(P70:T70)</f>
        <v>#DIV/0!</v>
      </c>
    </row>
  </sheetData>
  <sheetProtection insertRows="0"/>
  <mergeCells count="15">
    <mergeCell ref="C11:F11"/>
    <mergeCell ref="G11:H11"/>
    <mergeCell ref="D21:H21"/>
    <mergeCell ref="K21:O21"/>
    <mergeCell ref="B7:H7"/>
    <mergeCell ref="P21:T21"/>
    <mergeCell ref="K56:O56"/>
    <mergeCell ref="K61:T61"/>
    <mergeCell ref="D22:H22"/>
    <mergeCell ref="K22:O22"/>
    <mergeCell ref="D38:H38"/>
    <mergeCell ref="K38:O38"/>
    <mergeCell ref="D39:H39"/>
    <mergeCell ref="K39:O39"/>
    <mergeCell ref="P38:T38"/>
  </mergeCells>
  <pageMargins left="0.7" right="0.7" top="0.75" bottom="0.75" header="0.3" footer="0.3"/>
  <pageSetup paperSize="8" scale="44" fitToWidth="0" orientation="landscape" r:id="rId1"/>
  <rowBreaks count="1" manualBreakCount="1">
    <brk id="55" min="1" max="25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E Factor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Bucki</dc:creator>
  <cp:keywords/>
  <dc:description/>
  <cp:lastModifiedBy>Lincoln Flindell</cp:lastModifiedBy>
  <dcterms:created xsi:type="dcterms:W3CDTF">2019-06-19T05:32:57Z</dcterms:created>
  <dcterms:modified xsi:type="dcterms:W3CDTF">2020-10-08T03:28:03Z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