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amscloud.sharepoint.com/sites/Goldfields2025-29AccessArrangementproposal/Shared Documents/06.3 Capex overview/Submission documentation/Final/"/>
    </mc:Choice>
  </mc:AlternateContent>
  <xr:revisionPtr revIDLastSave="0" documentId="8_{7C437FEE-579D-47E8-BCE7-7AD59A9339C9}" xr6:coauthVersionLast="47" xr6:coauthVersionMax="47" xr10:uidLastSave="{00000000-0000-0000-0000-000000000000}"/>
  <bookViews>
    <workbookView xWindow="-110" yWindow="-110" windowWidth="38620" windowHeight="21100" xr2:uid="{FFE4B33C-57A1-4228-868B-773C4E33D8C2}"/>
  </bookViews>
  <sheets>
    <sheet name="Cover" sheetId="17" r:id="rId1"/>
    <sheet name="Sys" sheetId="18" r:id="rId2"/>
    <sheet name="I|Program" sheetId="13" r:id="rId3"/>
    <sheet name="C|NPV" sheetId="19" r:id="rId4"/>
  </sheets>
  <externalReferences>
    <externalReference r:id="rId5"/>
  </externalReferences>
  <definedNames>
    <definedName name="millions">Sys!$E$19</definedName>
    <definedName name="RealWACC">[1]Sys!$E$20</definedName>
    <definedName name="sys.options">Sys!$E$24:$E$29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9" l="1"/>
  <c r="I19" i="19"/>
  <c r="J19" i="19"/>
  <c r="K19" i="19"/>
  <c r="K26" i="19" s="1"/>
  <c r="L19" i="19"/>
  <c r="M19" i="19"/>
  <c r="L26" i="19" s="1"/>
  <c r="N19" i="19"/>
  <c r="N26" i="19" s="1"/>
  <c r="O19" i="19"/>
  <c r="O26" i="19" s="1"/>
  <c r="P19" i="19"/>
  <c r="P26" i="19" s="1"/>
  <c r="Q19" i="19"/>
  <c r="R19" i="19"/>
  <c r="H20" i="19"/>
  <c r="H27" i="19" s="1"/>
  <c r="H34" i="19" s="1"/>
  <c r="I20" i="19"/>
  <c r="J20" i="19"/>
  <c r="K20" i="19"/>
  <c r="K27" i="19" s="1"/>
  <c r="L20" i="19"/>
  <c r="L27" i="19" s="1"/>
  <c r="M20" i="19"/>
  <c r="N20" i="19"/>
  <c r="O20" i="19"/>
  <c r="N27" i="19" s="1"/>
  <c r="P20" i="19"/>
  <c r="P27" i="19" s="1"/>
  <c r="Q20" i="19"/>
  <c r="Q27" i="19" s="1"/>
  <c r="R20" i="19"/>
  <c r="H21" i="19"/>
  <c r="H28" i="19" s="1"/>
  <c r="I21" i="19"/>
  <c r="I28" i="19" s="1"/>
  <c r="J21" i="19"/>
  <c r="K21" i="19"/>
  <c r="L21" i="19"/>
  <c r="K28" i="19" s="1"/>
  <c r="M21" i="19"/>
  <c r="M28" i="19" s="1"/>
  <c r="N21" i="19"/>
  <c r="O21" i="19"/>
  <c r="O28" i="19" s="1"/>
  <c r="P21" i="19"/>
  <c r="P28" i="19" s="1"/>
  <c r="Q21" i="19"/>
  <c r="Q28" i="19" s="1"/>
  <c r="R21" i="19"/>
  <c r="R28" i="19" s="1"/>
  <c r="H22" i="19"/>
  <c r="I22" i="19"/>
  <c r="H29" i="19" s="1"/>
  <c r="J22" i="19"/>
  <c r="I29" i="19" s="1"/>
  <c r="F36" i="19" s="1"/>
  <c r="K22" i="19"/>
  <c r="L22" i="19"/>
  <c r="M22" i="19"/>
  <c r="L29" i="19" s="1"/>
  <c r="N22" i="19"/>
  <c r="M29" i="19" s="1"/>
  <c r="I36" i="19" s="1"/>
  <c r="O22" i="19"/>
  <c r="P22" i="19"/>
  <c r="O29" i="19" s="1"/>
  <c r="Q22" i="19"/>
  <c r="P29" i="19" s="1"/>
  <c r="R22" i="19"/>
  <c r="Q29" i="19" s="1"/>
  <c r="G26" i="19"/>
  <c r="G33" i="19" s="1"/>
  <c r="H26" i="19"/>
  <c r="I26" i="19"/>
  <c r="J26" i="19"/>
  <c r="H33" i="19" s="1"/>
  <c r="Q26" i="19"/>
  <c r="R26" i="19"/>
  <c r="G27" i="19"/>
  <c r="I27" i="19"/>
  <c r="J27" i="19"/>
  <c r="M27" i="19"/>
  <c r="R27" i="19"/>
  <c r="G28" i="19"/>
  <c r="G35" i="19" s="1"/>
  <c r="J28" i="19"/>
  <c r="N28" i="19"/>
  <c r="G29" i="19"/>
  <c r="G36" i="19" s="1"/>
  <c r="J29" i="19"/>
  <c r="K29" i="19"/>
  <c r="N29" i="19"/>
  <c r="R29" i="19"/>
  <c r="G34" i="19"/>
  <c r="F27" i="19"/>
  <c r="F28" i="19"/>
  <c r="F29" i="19"/>
  <c r="F26" i="19"/>
  <c r="G22" i="19"/>
  <c r="G21" i="19"/>
  <c r="G20" i="19"/>
  <c r="G19" i="19"/>
  <c r="D36" i="19" a="1"/>
  <c r="D36" i="19" s="1"/>
  <c r="D35" i="19" a="1"/>
  <c r="D35" i="19" s="1"/>
  <c r="D34" i="19" a="1"/>
  <c r="D34" i="19" s="1"/>
  <c r="D33" i="19" a="1"/>
  <c r="D33" i="19" s="1"/>
  <c r="D29" i="19" a="1"/>
  <c r="D29" i="19" s="1"/>
  <c r="D28" i="19" a="1"/>
  <c r="D28" i="19" s="1"/>
  <c r="D27" i="19" a="1"/>
  <c r="D27" i="19" s="1"/>
  <c r="D26" i="19" a="1"/>
  <c r="D26" i="19" s="1"/>
  <c r="D22" i="19" a="1"/>
  <c r="D22" i="19" s="1"/>
  <c r="D21" i="19" a="1"/>
  <c r="D21" i="19" s="1"/>
  <c r="D20" i="19" a="1"/>
  <c r="D20" i="19" s="1"/>
  <c r="D19" i="19" a="1"/>
  <c r="D19" i="19" s="1"/>
  <c r="I35" i="19" l="1"/>
  <c r="F34" i="19"/>
  <c r="H36" i="19"/>
  <c r="J36" i="19" s="1"/>
  <c r="K36" i="19" s="1"/>
  <c r="O27" i="19"/>
  <c r="I34" i="19" s="1"/>
  <c r="J34" i="19" s="1"/>
  <c r="K34" i="19" s="1"/>
  <c r="M26" i="19"/>
  <c r="I33" i="19" s="1"/>
  <c r="J33" i="19" s="1"/>
  <c r="K33" i="19" s="1"/>
  <c r="L28" i="19"/>
  <c r="H35" i="19" s="1"/>
  <c r="J35" i="19" s="1"/>
  <c r="K35" i="19" s="1"/>
  <c r="F33" i="19" l="1"/>
  <c r="F35" i="19"/>
  <c r="D154" i="13" l="1" a="1"/>
  <c r="D154" i="13" s="1"/>
  <c r="D108" i="13" a="1"/>
  <c r="D108" i="13" s="1"/>
  <c r="D62" i="13" a="1"/>
  <c r="D62" i="13" s="1"/>
  <c r="D16" i="13" a="1"/>
  <c r="D16" i="13" s="1"/>
  <c r="O98" i="13"/>
  <c r="O105" i="13" s="1"/>
  <c r="J98" i="13"/>
  <c r="J95" i="13"/>
  <c r="F94" i="13"/>
  <c r="N95" i="13"/>
  <c r="N93" i="13"/>
  <c r="H93" i="13"/>
  <c r="H105" i="13" s="1"/>
  <c r="N90" i="13"/>
  <c r="I90" i="13"/>
  <c r="M89" i="13"/>
  <c r="F89" i="13"/>
  <c r="N88" i="13"/>
  <c r="G88" i="13"/>
  <c r="N86" i="13"/>
  <c r="I86" i="13"/>
  <c r="L85" i="13"/>
  <c r="F85" i="13"/>
  <c r="L82" i="13"/>
  <c r="F82" i="13"/>
  <c r="F79" i="13"/>
  <c r="G80" i="13"/>
  <c r="L80" i="13"/>
  <c r="M78" i="13"/>
  <c r="G78" i="13"/>
  <c r="E73" i="13"/>
  <c r="E105" i="13" s="1"/>
  <c r="L69" i="13"/>
  <c r="G69" i="13"/>
  <c r="O197" i="13"/>
  <c r="N197" i="13"/>
  <c r="M197" i="13"/>
  <c r="L197" i="13"/>
  <c r="K197" i="13"/>
  <c r="J197" i="13"/>
  <c r="I197" i="13"/>
  <c r="H197" i="13"/>
  <c r="G197" i="13"/>
  <c r="F197" i="13"/>
  <c r="E197" i="13"/>
  <c r="O151" i="13"/>
  <c r="N151" i="13"/>
  <c r="M151" i="13"/>
  <c r="L151" i="13"/>
  <c r="K151" i="13"/>
  <c r="J151" i="13"/>
  <c r="I151" i="13"/>
  <c r="H151" i="13"/>
  <c r="G151" i="13"/>
  <c r="F151" i="13"/>
  <c r="E151" i="13"/>
  <c r="K105" i="13"/>
  <c r="L59" i="13"/>
  <c r="M59" i="13"/>
  <c r="N59" i="13"/>
  <c r="O59" i="13"/>
  <c r="E59" i="13"/>
  <c r="L105" i="13" l="1"/>
  <c r="J105" i="13"/>
  <c r="I105" i="13"/>
  <c r="F105" i="13"/>
  <c r="N105" i="13"/>
  <c r="G105" i="13"/>
  <c r="M105" i="13"/>
  <c r="K59" i="13" l="1"/>
  <c r="G54" i="13" l="1"/>
  <c r="G59" i="13" s="1"/>
  <c r="I54" i="13"/>
  <c r="I59" i="13" s="1"/>
  <c r="F54" i="13"/>
  <c r="F59" i="13" s="1"/>
  <c r="J54" i="13"/>
  <c r="J59" i="13" s="1"/>
  <c r="H54" i="13"/>
  <c r="H59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<sst xmlns="http://schemas.openxmlformats.org/spreadsheetml/2006/main" count="254" uniqueCount="92">
  <si>
    <t>Real WACC</t>
  </si>
  <si>
    <t>Basis</t>
  </si>
  <si>
    <t>Inputs</t>
  </si>
  <si>
    <t>Option</t>
  </si>
  <si>
    <t>FY24</t>
  </si>
  <si>
    <t>FY25</t>
  </si>
  <si>
    <t>FY26</t>
  </si>
  <si>
    <t>FY27</t>
  </si>
  <si>
    <t>FY28</t>
  </si>
  <si>
    <t>FY29</t>
  </si>
  <si>
    <t>FY30</t>
  </si>
  <si>
    <t>FY31</t>
  </si>
  <si>
    <t>FY32</t>
  </si>
  <si>
    <t>FY33</t>
  </si>
  <si>
    <t>FY34</t>
  </si>
  <si>
    <t>Re-life Program - Control System Upgrade - Wiluna Gold</t>
  </si>
  <si>
    <t>Re-life Program - CP Data Loggers - GGP</t>
  </si>
  <si>
    <t>Re-life Program - Ilgarari EI&amp;C</t>
  </si>
  <si>
    <t>Re-life Program - Kalgoorlie South - Station RTU Upgrade</t>
  </si>
  <si>
    <t>Re-life Program - Kambalda MS - Station RTU Upgrade</t>
  </si>
  <si>
    <t>Re-life Program - Leinster MS EI&amp;C</t>
  </si>
  <si>
    <t>Re-life Program - Leinster SS</t>
  </si>
  <si>
    <t>Re-life Program - Leonora MLV</t>
  </si>
  <si>
    <t>Re-life Program - Leonora MS</t>
  </si>
  <si>
    <t>Re-life Program - Marymia - CPU Upgrade</t>
  </si>
  <si>
    <t>Re-life Program - Mt Keith MLV (SS)</t>
  </si>
  <si>
    <t>Re-life program - Mt Keith MS - Mech</t>
  </si>
  <si>
    <t>Re-life Program - Mt Keith MS EI&amp;C</t>
  </si>
  <si>
    <t>Re-life Program - Neds Creek EI&amp;C</t>
  </si>
  <si>
    <t>Re-life Program - Neds Creek SS</t>
  </si>
  <si>
    <t>Re-life Program - Newman Delivery</t>
  </si>
  <si>
    <t>Re-life Program - Newman SS</t>
  </si>
  <si>
    <t>Re-life Program - Paraburdoo - Station RTU Upgrade</t>
  </si>
  <si>
    <t>Re-life Program - Paraburdoo SS (R)</t>
  </si>
  <si>
    <t>Re-life Program - Parkeston MS Station RTU Upgrade</t>
  </si>
  <si>
    <t>Re-life Program - Three Rivers MLV</t>
  </si>
  <si>
    <t>Re-life Program - Turee Creek SS</t>
  </si>
  <si>
    <t>Re-life Program - Wyloo West - Station RTU Upgrade</t>
  </si>
  <si>
    <t>Re-life Program - Wyloo West SS</t>
  </si>
  <si>
    <t>Re-life Program - Yarnima MS</t>
  </si>
  <si>
    <t>Re-life Program - Yarraloola CPU Upgrade</t>
  </si>
  <si>
    <t>Re-life Program -Boonamichi Well MS (R)</t>
  </si>
  <si>
    <t>Project Title</t>
  </si>
  <si>
    <t>Re-life Program - Beyondie Meter Station EI&amp;C Systems (R)</t>
  </si>
  <si>
    <t>Re-life Program - Cosmos OT</t>
  </si>
  <si>
    <t>Re-life Program - Esperance MS - Station RTU Upgrade</t>
  </si>
  <si>
    <t>Re-life Program - Jaguar OT</t>
  </si>
  <si>
    <t>Re-life Program - Jeedamya</t>
  </si>
  <si>
    <t>Re-life Program - Kalgoorlie North MLV</t>
  </si>
  <si>
    <t>Re-life Program - Kalgoorlie South CPU Upgrade</t>
  </si>
  <si>
    <t>Re-life Program - Kalgoorlie West MLV</t>
  </si>
  <si>
    <t>Total</t>
  </si>
  <si>
    <t>Option 1 - Defer to AA6</t>
  </si>
  <si>
    <t>Reactive repairs</t>
  </si>
  <si>
    <t>Actuator cost</t>
  </si>
  <si>
    <t>Solar power</t>
  </si>
  <si>
    <t>Additional mobilisation / rework premium</t>
  </si>
  <si>
    <t>Options</t>
  </si>
  <si>
    <t>AA5 Capex</t>
  </si>
  <si>
    <t>AA6 Capex</t>
  </si>
  <si>
    <t>Option 2 - Focus on control and cathodic protection systems</t>
  </si>
  <si>
    <t>Total (Check)</t>
  </si>
  <si>
    <t>Option 3 - Complete in AA5</t>
  </si>
  <si>
    <t>Option 4 - Complete over AA5 and AA6</t>
  </si>
  <si>
    <t>AA4 capex</t>
  </si>
  <si>
    <t>Goldfields Gas Pipeline Access Arrangment 2025-29</t>
  </si>
  <si>
    <t>Model System: lists, values, formatting</t>
  </si>
  <si>
    <t>Formatting</t>
  </si>
  <si>
    <t>Heading 1</t>
  </si>
  <si>
    <t>Heading 2</t>
  </si>
  <si>
    <t>Input</t>
  </si>
  <si>
    <t>Calculation</t>
  </si>
  <si>
    <t>Highlight</t>
  </si>
  <si>
    <t>Explanatory text</t>
  </si>
  <si>
    <t>Values</t>
  </si>
  <si>
    <t>Millions</t>
  </si>
  <si>
    <t>NPV Set up</t>
  </si>
  <si>
    <t>Lists</t>
  </si>
  <si>
    <t>No.</t>
  </si>
  <si>
    <t>$FY2023</t>
  </si>
  <si>
    <t>$nominal</t>
  </si>
  <si>
    <t>$CY2023</t>
  </si>
  <si>
    <t>CY</t>
  </si>
  <si>
    <t>Component</t>
  </si>
  <si>
    <t>Calc</t>
  </si>
  <si>
    <t>Capex (Financial year terms)</t>
  </si>
  <si>
    <t>FY</t>
  </si>
  <si>
    <t>Capex (Calendar year terms)</t>
  </si>
  <si>
    <t>Summary table</t>
  </si>
  <si>
    <t>Present Value (period to 2035)</t>
  </si>
  <si>
    <t>Cost</t>
  </si>
  <si>
    <t>End of equipment life NPV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</si>
</sst>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;[Red]\-&quot;$&quot;#,##0"/>
    <numFmt numFmtId="43" formatCode="_-* #,##0.00_-;\-* #,##0.00_-;_-* &quot;-&quot;??_-;_-@_-"/>
    <numFmt numFmtId="164" formatCode="_-* #,##0_-;\-* #,##0_-;_-* &quot;-&quot;??_-;_-@_-"/>
    <numFmt numFmtId="167" formatCode="_-* #,##0.0_-;\-* #,##0.0_-;_-* &quot;-&quot;??_-;_-@_-"/>
    <numFmt numFmtId="169" formatCode="mmmm\ 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4"/>
      <color rgb="FF007300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22"/>
      <color rgb="FF007300"/>
      <name val="Century Gothic"/>
      <family val="2"/>
    </font>
    <font>
      <b/>
      <sz val="22"/>
      <color theme="1"/>
      <name val="Century Gothic"/>
      <family val="2"/>
    </font>
    <font>
      <sz val="16"/>
      <color rgb="FFFF0000"/>
      <name val="Century Gothic"/>
      <family val="2"/>
    </font>
    <font>
      <b/>
      <sz val="16"/>
      <color theme="1"/>
      <name val="Century Gothic"/>
      <family val="2"/>
    </font>
    <font>
      <sz val="16"/>
      <color theme="1"/>
      <name val="Century Gothic"/>
      <family val="2"/>
    </font>
    <font>
      <b/>
      <sz val="11"/>
      <color theme="0"/>
      <name val="Century Gothic"/>
      <family val="2"/>
    </font>
    <font>
      <b/>
      <sz val="14"/>
      <color theme="1"/>
      <name val="Calibri"/>
      <family val="2"/>
      <scheme val="minor"/>
    </font>
    <font>
      <sz val="11"/>
      <color rgb="FF0070C0"/>
      <name val="Century Gothic"/>
      <family val="2"/>
    </font>
    <font>
      <sz val="9"/>
      <color rgb="FF007300"/>
      <name val="Century Gothic"/>
      <family val="2"/>
    </font>
    <font>
      <b/>
      <i/>
      <sz val="11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007300"/>
        <bgColor indexed="64"/>
      </patternFill>
    </fill>
    <fill>
      <patternFill patternType="solid">
        <fgColor rgb="FFFFF5CD"/>
        <bgColor indexed="64"/>
      </patternFill>
    </fill>
  </fills>
  <borders count="3">
    <border>
      <left/>
      <right/>
      <top/>
      <bottom/>
      <diagonal/>
    </border>
    <border>
      <left/>
      <right/>
      <top style="thick">
        <color rgb="FF007300"/>
      </top>
      <bottom style="thick">
        <color rgb="FF0073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4" fillId="0" borderId="1" applyNumberFormat="0" applyFill="0" applyProtection="0">
      <alignment vertical="center"/>
    </xf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30">
    <xf numFmtId="0" fontId="0" fillId="0" borderId="0" xfId="0"/>
    <xf numFmtId="6" fontId="0" fillId="0" borderId="0" xfId="0" applyNumberFormat="1"/>
    <xf numFmtId="0" fontId="2" fillId="0" borderId="0" xfId="0" applyFont="1"/>
    <xf numFmtId="10" fontId="3" fillId="0" borderId="0" xfId="0" applyNumberFormat="1" applyFont="1"/>
    <xf numFmtId="0" fontId="5" fillId="2" borderId="2" xfId="0" applyFont="1" applyFill="1" applyBorder="1" applyAlignment="1">
      <alignment horizontal="center"/>
    </xf>
    <xf numFmtId="0" fontId="6" fillId="0" borderId="2" xfId="0" applyFont="1" applyBorder="1"/>
    <xf numFmtId="164" fontId="0" fillId="0" borderId="0" xfId="0" applyNumberFormat="1"/>
    <xf numFmtId="0" fontId="8" fillId="0" borderId="0" xfId="0" applyFont="1"/>
    <xf numFmtId="0" fontId="6" fillId="0" borderId="0" xfId="0" applyFont="1"/>
    <xf numFmtId="0" fontId="10" fillId="0" borderId="0" xfId="6" applyFont="1" applyAlignment="1">
      <alignment vertical="center"/>
    </xf>
    <xf numFmtId="0" fontId="9" fillId="0" borderId="0" xfId="6" applyAlignment="1">
      <alignment vertical="center"/>
    </xf>
    <xf numFmtId="0" fontId="11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169" fontId="14" fillId="0" borderId="0" xfId="0" applyNumberFormat="1" applyFont="1" applyAlignment="1">
      <alignment horizontal="left"/>
    </xf>
    <xf numFmtId="0" fontId="4" fillId="0" borderId="1" xfId="6" applyFont="1" applyBorder="1" applyAlignment="1">
      <alignment vertical="center"/>
    </xf>
    <xf numFmtId="0" fontId="1" fillId="0" borderId="0" xfId="0" applyFont="1"/>
    <xf numFmtId="0" fontId="15" fillId="3" borderId="0" xfId="0" applyFont="1" applyFill="1"/>
    <xf numFmtId="0" fontId="16" fillId="0" borderId="0" xfId="0" applyFont="1"/>
    <xf numFmtId="0" fontId="17" fillId="0" borderId="2" xfId="0" applyFont="1" applyBorder="1"/>
    <xf numFmtId="0" fontId="6" fillId="4" borderId="2" xfId="0" applyFont="1" applyFill="1" applyBorder="1"/>
    <xf numFmtId="0" fontId="18" fillId="0" borderId="0" xfId="0" applyFont="1"/>
    <xf numFmtId="164" fontId="17" fillId="0" borderId="2" xfId="1" applyNumberFormat="1" applyFont="1" applyBorder="1"/>
    <xf numFmtId="10" fontId="17" fillId="0" borderId="2" xfId="5" applyNumberFormat="1" applyFont="1" applyBorder="1"/>
    <xf numFmtId="164" fontId="6" fillId="0" borderId="2" xfId="1" applyNumberFormat="1" applyFont="1" applyBorder="1"/>
    <xf numFmtId="0" fontId="19" fillId="2" borderId="2" xfId="0" applyFont="1" applyFill="1" applyBorder="1" applyAlignment="1">
      <alignment horizontal="center"/>
    </xf>
    <xf numFmtId="167" fontId="6" fillId="0" borderId="2" xfId="1" applyNumberFormat="1" applyFont="1" applyBorder="1"/>
    <xf numFmtId="164" fontId="5" fillId="0" borderId="2" xfId="1" applyNumberFormat="1" applyFont="1" applyBorder="1"/>
    <xf numFmtId="9" fontId="3" fillId="0" borderId="0" xfId="5" applyFont="1" applyBorder="1"/>
    <xf numFmtId="9" fontId="17" fillId="0" borderId="2" xfId="5" applyFont="1" applyBorder="1"/>
  </cellXfs>
  <cellStyles count="7">
    <cellStyle name="Comma" xfId="1" builtinId="3"/>
    <cellStyle name="Normal" xfId="0" builtinId="0"/>
    <cellStyle name="Normal 209" xfId="4" xr:uid="{2C90199E-D534-4F4D-B79E-76DCEC437B40}"/>
    <cellStyle name="Percent" xfId="5" builtinId="5"/>
    <cellStyle name="Percent 15" xfId="3" xr:uid="{4E25A095-744C-4C0A-B438-BF9BDED4E286}"/>
    <cellStyle name="Title" xfId="6" builtinId="15"/>
    <cellStyle name="Title 3" xfId="2" xr:uid="{84ABF2BA-7326-44CA-8B43-56C46A872EDA}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206375</xdr:colOff>
      <xdr:row>1</xdr:row>
      <xdr:rowOff>44452</xdr:rowOff>
    </xdr:from>
    <xdr:to>
      <xdr:col>1</xdr:col>
      <xdr:colOff>5229719</xdr:colOff>
      <xdr:row>38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6BFB03-40E4-4F74-895E-A1DE426EAA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" y="228602"/>
          <a:ext cx="5632944" cy="68611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2</xdr:col>
      <xdr:colOff>362137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73BBD-3665-4C7D-A5E8-46EA3FA7C85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498787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3</xdr:col>
      <xdr:colOff>682625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E6A5B8-D428-44B3-8B91-C8484D57362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501775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3</xdr:col>
      <xdr:colOff>822325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3F11CA-4390-466E-9DDA-5FAB2FF9A8A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501775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pamscloud.sharepoint.com/sites/Goldfields2025-29AccessArrangementproposal/Shared%20Documents/06.3%20Capex%20overview/Submission%20documentation/Final/GGP%20Buried%20Services%20NPV.xlsx" TargetMode="External"/><Relationship Id="rId1" Type="http://schemas.openxmlformats.org/officeDocument/2006/relationships/externalLinkPath" Target="GGP%20Buried%20Services%20NP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ys"/>
      <sheetName val="C|NPV"/>
    </sheetNames>
    <sheetDataSet>
      <sheetData sheetId="0"/>
      <sheetData sheetId="1">
        <row r="20">
          <cell r="E20">
            <v>5.1799999999999999E-2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70D52-CA54-4BAA-B48D-37CF525B3162}">
  <sheetPr>
    <tabColor theme="0" tint="-0.14999847407452621"/>
  </sheetPr>
  <dimension ref="A1:E51"/>
  <sheetViews>
    <sheetView showGridLines="0" tabSelected="1" workbookViewId="0">
      <selection activeCell="B49" sqref="B49"/>
    </sheetView>
  </sheetViews>
  <sheetFormatPr defaultRowHeight="14.5" x14ac:dyDescent="0.35"/>
  <cols>
    <col min="2" max="2" width="104.08984375" bestFit="1" customWidth="1"/>
  </cols>
  <sheetData>
    <row r="1" spans="1:5" x14ac:dyDescent="0.35">
      <c r="A1" s="8"/>
      <c r="B1" s="8"/>
      <c r="C1" s="8"/>
      <c r="D1" s="8"/>
      <c r="E1" s="8"/>
    </row>
    <row r="2" spans="1:5" x14ac:dyDescent="0.35">
      <c r="A2" s="8"/>
      <c r="B2" s="8"/>
      <c r="C2" s="8"/>
      <c r="D2" s="8"/>
      <c r="E2" s="8"/>
    </row>
    <row r="3" spans="1:5" x14ac:dyDescent="0.35">
      <c r="A3" s="8"/>
      <c r="B3" s="8"/>
      <c r="C3" s="8"/>
      <c r="D3" s="8"/>
      <c r="E3" s="8"/>
    </row>
    <row r="4" spans="1:5" x14ac:dyDescent="0.35">
      <c r="A4" s="8"/>
      <c r="B4" s="8"/>
      <c r="C4" s="8"/>
      <c r="D4" s="8"/>
      <c r="E4" s="8"/>
    </row>
    <row r="5" spans="1:5" x14ac:dyDescent="0.35">
      <c r="A5" s="8"/>
      <c r="B5" s="8"/>
      <c r="C5" s="8"/>
      <c r="D5" s="8"/>
      <c r="E5" s="8"/>
    </row>
    <row r="6" spans="1:5" x14ac:dyDescent="0.35">
      <c r="A6" s="8"/>
      <c r="B6" s="8"/>
      <c r="C6" s="8"/>
      <c r="D6" s="8"/>
      <c r="E6" s="8"/>
    </row>
    <row r="7" spans="1:5" x14ac:dyDescent="0.35">
      <c r="A7" s="8"/>
      <c r="B7" s="8"/>
      <c r="C7" s="8"/>
      <c r="D7" s="8"/>
      <c r="E7" s="8"/>
    </row>
    <row r="8" spans="1:5" x14ac:dyDescent="0.35">
      <c r="A8" s="8"/>
      <c r="B8" s="8"/>
      <c r="C8" s="8"/>
      <c r="D8" s="8"/>
      <c r="E8" s="8"/>
    </row>
    <row r="9" spans="1:5" x14ac:dyDescent="0.35">
      <c r="A9" s="8"/>
      <c r="B9" s="8"/>
      <c r="C9" s="8"/>
      <c r="D9" s="8"/>
      <c r="E9" s="8"/>
    </row>
    <row r="10" spans="1:5" x14ac:dyDescent="0.35">
      <c r="A10" s="8"/>
      <c r="B10" s="8"/>
      <c r="C10" s="8"/>
      <c r="D10" s="8"/>
      <c r="E10" s="8"/>
    </row>
    <row r="11" spans="1:5" x14ac:dyDescent="0.35">
      <c r="A11" s="8"/>
      <c r="B11" s="8"/>
      <c r="C11" s="8"/>
      <c r="D11" s="8"/>
      <c r="E11" s="8"/>
    </row>
    <row r="12" spans="1:5" x14ac:dyDescent="0.35">
      <c r="A12" s="8"/>
      <c r="B12" s="8"/>
      <c r="C12" s="8"/>
      <c r="D12" s="8"/>
      <c r="E12" s="8"/>
    </row>
    <row r="13" spans="1:5" x14ac:dyDescent="0.35">
      <c r="A13" s="8"/>
      <c r="B13" s="8"/>
      <c r="C13" s="8"/>
      <c r="D13" s="8"/>
      <c r="E13" s="8"/>
    </row>
    <row r="14" spans="1:5" x14ac:dyDescent="0.35">
      <c r="A14" s="8"/>
      <c r="B14" s="8"/>
      <c r="C14" s="8"/>
      <c r="D14" s="8"/>
      <c r="E14" s="8"/>
    </row>
    <row r="15" spans="1:5" x14ac:dyDescent="0.35">
      <c r="A15" s="8"/>
      <c r="B15" s="8"/>
      <c r="C15" s="8"/>
      <c r="D15" s="8"/>
      <c r="E15" s="8"/>
    </row>
    <row r="16" spans="1:5" x14ac:dyDescent="0.35">
      <c r="A16" s="8"/>
      <c r="B16" s="8"/>
      <c r="C16" s="8"/>
      <c r="D16" s="8"/>
      <c r="E16" s="8"/>
    </row>
    <row r="17" spans="1:5" x14ac:dyDescent="0.35">
      <c r="A17" s="8"/>
      <c r="B17" s="8"/>
      <c r="C17" s="8"/>
      <c r="D17" s="8"/>
      <c r="E17" s="8"/>
    </row>
    <row r="18" spans="1:5" x14ac:dyDescent="0.35">
      <c r="A18" s="8"/>
      <c r="B18" s="8"/>
      <c r="C18" s="8"/>
      <c r="D18" s="8"/>
      <c r="E18" s="8"/>
    </row>
    <row r="19" spans="1:5" x14ac:dyDescent="0.35">
      <c r="A19" s="8"/>
      <c r="B19" s="8"/>
      <c r="C19" s="8"/>
      <c r="D19" s="8"/>
      <c r="E19" s="8"/>
    </row>
    <row r="20" spans="1:5" x14ac:dyDescent="0.35">
      <c r="A20" s="8"/>
      <c r="B20" s="8"/>
      <c r="C20" s="8"/>
      <c r="D20" s="8"/>
      <c r="E20" s="8"/>
    </row>
    <row r="21" spans="1:5" x14ac:dyDescent="0.35">
      <c r="A21" s="8"/>
      <c r="B21" s="8"/>
      <c r="C21" s="8"/>
      <c r="D21" s="8"/>
      <c r="E21" s="8"/>
    </row>
    <row r="22" spans="1:5" x14ac:dyDescent="0.35">
      <c r="A22" s="8"/>
      <c r="B22" s="8"/>
      <c r="C22" s="8"/>
      <c r="D22" s="8"/>
      <c r="E22" s="8"/>
    </row>
    <row r="23" spans="1:5" x14ac:dyDescent="0.35">
      <c r="A23" s="8"/>
      <c r="B23" s="8"/>
      <c r="C23" s="8"/>
      <c r="D23" s="8"/>
      <c r="E23" s="8"/>
    </row>
    <row r="24" spans="1:5" x14ac:dyDescent="0.35">
      <c r="A24" s="8"/>
      <c r="B24" s="8"/>
      <c r="C24" s="8"/>
      <c r="D24" s="8"/>
      <c r="E24" s="8"/>
    </row>
    <row r="25" spans="1:5" x14ac:dyDescent="0.35">
      <c r="A25" s="8"/>
      <c r="B25" s="8"/>
      <c r="C25" s="8"/>
      <c r="D25" s="8"/>
      <c r="E25" s="8"/>
    </row>
    <row r="26" spans="1:5" x14ac:dyDescent="0.35">
      <c r="A26" s="8"/>
      <c r="B26" s="8"/>
      <c r="C26" s="8"/>
      <c r="D26" s="8"/>
      <c r="E26" s="8"/>
    </row>
    <row r="27" spans="1:5" x14ac:dyDescent="0.35">
      <c r="A27" s="8"/>
      <c r="B27" s="8"/>
      <c r="C27" s="8"/>
      <c r="D27" s="8"/>
      <c r="E27" s="8"/>
    </row>
    <row r="28" spans="1:5" x14ac:dyDescent="0.35">
      <c r="A28" s="8"/>
      <c r="B28" s="8"/>
      <c r="C28" s="8"/>
      <c r="D28" s="8"/>
      <c r="E28" s="8"/>
    </row>
    <row r="29" spans="1:5" x14ac:dyDescent="0.35">
      <c r="A29" s="8"/>
      <c r="B29" s="8"/>
      <c r="C29" s="8"/>
      <c r="D29" s="8"/>
      <c r="E29" s="8"/>
    </row>
    <row r="30" spans="1:5" x14ac:dyDescent="0.35">
      <c r="A30" s="8"/>
      <c r="B30" s="8"/>
      <c r="C30" s="8"/>
      <c r="D30" s="8"/>
      <c r="E30" s="8"/>
    </row>
    <row r="31" spans="1:5" x14ac:dyDescent="0.35">
      <c r="A31" s="8"/>
      <c r="B31" s="8"/>
      <c r="C31" s="8"/>
      <c r="D31" s="8"/>
      <c r="E31" s="8"/>
    </row>
    <row r="32" spans="1:5" x14ac:dyDescent="0.35">
      <c r="A32" s="8"/>
      <c r="B32" s="8"/>
      <c r="C32" s="8"/>
      <c r="D32" s="8"/>
      <c r="E32" s="8"/>
    </row>
    <row r="33" spans="1:5" x14ac:dyDescent="0.35">
      <c r="A33" s="8"/>
      <c r="B33" s="8"/>
      <c r="C33" s="8"/>
      <c r="D33" s="8"/>
      <c r="E33" s="8"/>
    </row>
    <row r="34" spans="1:5" x14ac:dyDescent="0.35">
      <c r="A34" s="8"/>
      <c r="B34" s="8"/>
      <c r="C34" s="8"/>
      <c r="D34" s="8"/>
      <c r="E34" s="8"/>
    </row>
    <row r="35" spans="1:5" x14ac:dyDescent="0.35">
      <c r="A35" s="8"/>
      <c r="B35" s="8"/>
      <c r="C35" s="8"/>
      <c r="D35" s="8"/>
      <c r="E35" s="8"/>
    </row>
    <row r="36" spans="1:5" x14ac:dyDescent="0.35">
      <c r="A36" s="8"/>
      <c r="B36" s="8"/>
      <c r="C36" s="8"/>
      <c r="D36" s="8"/>
      <c r="E36" s="8"/>
    </row>
    <row r="37" spans="1:5" x14ac:dyDescent="0.35">
      <c r="A37" s="8"/>
      <c r="B37" s="8"/>
      <c r="C37" s="8"/>
      <c r="D37" s="8"/>
      <c r="E37" s="8"/>
    </row>
    <row r="38" spans="1:5" x14ac:dyDescent="0.35">
      <c r="A38" s="8"/>
      <c r="B38" s="8"/>
      <c r="C38" s="8"/>
      <c r="D38" s="8"/>
      <c r="E38" s="8"/>
    </row>
    <row r="39" spans="1:5" x14ac:dyDescent="0.35">
      <c r="A39" s="8"/>
      <c r="B39" s="8"/>
      <c r="C39" s="8"/>
      <c r="D39" s="8"/>
      <c r="E39" s="8"/>
    </row>
    <row r="40" spans="1:5" x14ac:dyDescent="0.35">
      <c r="A40" s="8"/>
      <c r="B40" s="8"/>
      <c r="C40" s="8"/>
      <c r="D40" s="8"/>
      <c r="E40" s="8"/>
    </row>
    <row r="41" spans="1:5" x14ac:dyDescent="0.35">
      <c r="A41" s="8"/>
      <c r="B41" s="8"/>
      <c r="C41" s="8"/>
      <c r="D41" s="8"/>
      <c r="E41" s="8"/>
    </row>
    <row r="42" spans="1:5" x14ac:dyDescent="0.35">
      <c r="A42" s="8"/>
      <c r="B42" s="8"/>
      <c r="C42" s="8"/>
      <c r="D42" s="8"/>
      <c r="E42" s="8"/>
    </row>
    <row r="43" spans="1:5" x14ac:dyDescent="0.35">
      <c r="A43" s="8"/>
      <c r="B43" s="8"/>
      <c r="C43" s="8"/>
      <c r="D43" s="8"/>
      <c r="E43" s="8"/>
    </row>
    <row r="44" spans="1:5" x14ac:dyDescent="0.35">
      <c r="A44" s="8"/>
      <c r="B44" s="8"/>
      <c r="C44" s="8"/>
      <c r="D44" s="8"/>
      <c r="E44" s="8"/>
    </row>
    <row r="45" spans="1:5" x14ac:dyDescent="0.35">
      <c r="A45" s="8"/>
      <c r="B45" s="8"/>
      <c r="C45" s="8"/>
      <c r="D45" s="8"/>
      <c r="E45" s="8"/>
    </row>
    <row r="46" spans="1:5" ht="27" x14ac:dyDescent="0.35">
      <c r="A46" s="8"/>
      <c r="B46" s="9" t="s">
        <v>65</v>
      </c>
      <c r="C46" s="10"/>
      <c r="D46" s="10"/>
      <c r="E46" s="10"/>
    </row>
    <row r="47" spans="1:5" ht="27" x14ac:dyDescent="0.5">
      <c r="A47" s="8"/>
      <c r="B47" s="11"/>
      <c r="C47" s="8"/>
      <c r="D47" s="8"/>
      <c r="E47" s="8"/>
    </row>
    <row r="48" spans="1:5" ht="20.5" x14ac:dyDescent="0.4">
      <c r="A48" s="8"/>
      <c r="B48" s="12"/>
      <c r="C48" s="8"/>
      <c r="D48" s="8"/>
      <c r="E48" s="8"/>
    </row>
    <row r="49" spans="1:5" ht="19.5" x14ac:dyDescent="0.35">
      <c r="A49" s="8"/>
      <c r="B49" s="13" t="s">
        <v>91</v>
      </c>
      <c r="C49" s="8"/>
      <c r="D49" s="8"/>
      <c r="E49" s="8"/>
    </row>
    <row r="50" spans="1:5" ht="20.5" x14ac:dyDescent="0.4">
      <c r="A50" s="8"/>
      <c r="B50" s="14">
        <v>45261</v>
      </c>
      <c r="C50" s="8"/>
      <c r="D50" s="8"/>
      <c r="E50" s="8"/>
    </row>
    <row r="51" spans="1:5" x14ac:dyDescent="0.35">
      <c r="A51" s="8"/>
      <c r="B51" s="8"/>
      <c r="C51" s="8"/>
      <c r="D51" s="8"/>
      <c r="E51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6AF13-963C-4069-8083-2DBC7FB9EC4C}">
  <sheetPr>
    <tabColor theme="0" tint="-0.14999847407452621"/>
  </sheetPr>
  <dimension ref="A12:K39"/>
  <sheetViews>
    <sheetView showGridLines="0" topLeftCell="A2" workbookViewId="0">
      <selection activeCell="E16" sqref="E16"/>
    </sheetView>
  </sheetViews>
  <sheetFormatPr defaultRowHeight="14.5" x14ac:dyDescent="0.35"/>
  <cols>
    <col min="4" max="4" width="12.6328125" bestFit="1" customWidth="1"/>
    <col min="5" max="5" width="96.08984375" bestFit="1" customWidth="1"/>
  </cols>
  <sheetData>
    <row r="12" spans="1:11" ht="15" thickBot="1" x14ac:dyDescent="0.4"/>
    <row r="13" spans="1:11" ht="18.5" thickTop="1" thickBot="1" x14ac:dyDescent="0.4">
      <c r="A13" s="15"/>
      <c r="B13" s="15"/>
      <c r="C13" s="15" t="s">
        <v>66</v>
      </c>
      <c r="D13" s="15"/>
      <c r="E13" s="15"/>
      <c r="F13" s="15"/>
      <c r="G13" s="15"/>
      <c r="H13" s="15"/>
      <c r="I13" s="15"/>
      <c r="J13" s="15"/>
      <c r="K13" s="15"/>
    </row>
    <row r="14" spans="1:11" ht="15" thickTop="1" x14ac:dyDescent="0.35">
      <c r="C14" s="16"/>
    </row>
    <row r="15" spans="1:11" x14ac:dyDescent="0.35">
      <c r="C15" s="16"/>
      <c r="D15" s="17" t="s">
        <v>67</v>
      </c>
      <c r="E15" s="17"/>
    </row>
    <row r="16" spans="1:11" ht="18.5" x14ac:dyDescent="0.45">
      <c r="A16" s="18"/>
      <c r="D16" s="17" t="s">
        <v>68</v>
      </c>
      <c r="E16" s="4" t="s">
        <v>69</v>
      </c>
      <c r="F16" s="19" t="s">
        <v>70</v>
      </c>
      <c r="G16" s="5" t="s">
        <v>71</v>
      </c>
      <c r="H16" s="20" t="s">
        <v>72</v>
      </c>
      <c r="I16" s="21" t="s">
        <v>73</v>
      </c>
    </row>
    <row r="18" spans="4:5" x14ac:dyDescent="0.35">
      <c r="D18" s="17" t="s">
        <v>74</v>
      </c>
      <c r="E18" s="17"/>
    </row>
    <row r="19" spans="4:5" x14ac:dyDescent="0.35">
      <c r="D19" s="5" t="s">
        <v>75</v>
      </c>
      <c r="E19" s="22">
        <v>1000000</v>
      </c>
    </row>
    <row r="20" spans="4:5" x14ac:dyDescent="0.35">
      <c r="D20" s="5" t="s">
        <v>0</v>
      </c>
      <c r="E20" s="23">
        <v>5.1799999999999999E-2</v>
      </c>
    </row>
    <row r="22" spans="4:5" x14ac:dyDescent="0.35">
      <c r="D22" s="17" t="s">
        <v>76</v>
      </c>
      <c r="E22" s="17"/>
    </row>
    <row r="23" spans="4:5" x14ac:dyDescent="0.35">
      <c r="D23" s="4"/>
      <c r="E23" s="4" t="s">
        <v>57</v>
      </c>
    </row>
    <row r="24" spans="4:5" x14ac:dyDescent="0.35">
      <c r="D24" s="5">
        <v>1</v>
      </c>
      <c r="E24" s="19" t="s">
        <v>52</v>
      </c>
    </row>
    <row r="25" spans="4:5" x14ac:dyDescent="0.35">
      <c r="D25" s="5">
        <v>2</v>
      </c>
      <c r="E25" s="19" t="s">
        <v>60</v>
      </c>
    </row>
    <row r="26" spans="4:5" x14ac:dyDescent="0.35">
      <c r="D26" s="5">
        <v>3</v>
      </c>
      <c r="E26" s="19" t="s">
        <v>62</v>
      </c>
    </row>
    <row r="27" spans="4:5" x14ac:dyDescent="0.35">
      <c r="D27" s="5">
        <v>4</v>
      </c>
      <c r="E27" s="19" t="s">
        <v>63</v>
      </c>
    </row>
    <row r="28" spans="4:5" x14ac:dyDescent="0.35">
      <c r="D28" s="5">
        <v>5</v>
      </c>
      <c r="E28" s="19"/>
    </row>
    <row r="29" spans="4:5" x14ac:dyDescent="0.35">
      <c r="D29" s="5">
        <v>6</v>
      </c>
      <c r="E29" s="19"/>
    </row>
    <row r="31" spans="4:5" x14ac:dyDescent="0.35">
      <c r="D31" s="17" t="s">
        <v>77</v>
      </c>
      <c r="E31" s="17"/>
    </row>
    <row r="32" spans="4:5" x14ac:dyDescent="0.35">
      <c r="D32" s="4" t="s">
        <v>78</v>
      </c>
      <c r="E32" s="4" t="s">
        <v>1</v>
      </c>
    </row>
    <row r="33" spans="4:5" x14ac:dyDescent="0.35">
      <c r="D33" s="5">
        <v>1</v>
      </c>
      <c r="E33" s="19" t="s">
        <v>79</v>
      </c>
    </row>
    <row r="34" spans="4:5" x14ac:dyDescent="0.35">
      <c r="D34" s="5">
        <v>2</v>
      </c>
      <c r="E34" s="19" t="s">
        <v>80</v>
      </c>
    </row>
    <row r="35" spans="4:5" x14ac:dyDescent="0.35">
      <c r="D35" s="5">
        <v>3</v>
      </c>
      <c r="E35" s="19" t="s">
        <v>81</v>
      </c>
    </row>
    <row r="36" spans="4:5" x14ac:dyDescent="0.35">
      <c r="D36" s="5">
        <v>4</v>
      </c>
      <c r="E36" s="19"/>
    </row>
    <row r="37" spans="4:5" x14ac:dyDescent="0.35">
      <c r="D37" s="5">
        <v>5</v>
      </c>
      <c r="E37" s="19"/>
    </row>
    <row r="38" spans="4:5" x14ac:dyDescent="0.35">
      <c r="D38" s="5">
        <v>6</v>
      </c>
      <c r="E38" s="19"/>
    </row>
    <row r="39" spans="4:5" x14ac:dyDescent="0.35">
      <c r="D39" s="5">
        <v>7</v>
      </c>
      <c r="E39" s="19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EA318-3850-445C-AA90-9EE33B2B7DE2}">
  <sheetPr>
    <tabColor rgb="FF0070C0"/>
  </sheetPr>
  <dimension ref="A12:T197"/>
  <sheetViews>
    <sheetView showGridLines="0" zoomScaleNormal="100" workbookViewId="0">
      <selection activeCell="D12" sqref="D12"/>
    </sheetView>
  </sheetViews>
  <sheetFormatPr defaultRowHeight="14.5" x14ac:dyDescent="0.35"/>
  <cols>
    <col min="1" max="2" width="3.6328125" customWidth="1"/>
    <col min="3" max="3" width="5.6328125" bestFit="1" customWidth="1"/>
    <col min="4" max="4" width="59.6328125" bestFit="1" customWidth="1"/>
    <col min="5" max="5" width="11.1796875" bestFit="1" customWidth="1"/>
    <col min="6" max="6" width="12.26953125" bestFit="1" customWidth="1"/>
    <col min="7" max="10" width="11.08984375" bestFit="1" customWidth="1"/>
    <col min="11" max="11" width="12.54296875" bestFit="1" customWidth="1"/>
    <col min="12" max="12" width="13.6328125" bestFit="1" customWidth="1"/>
    <col min="13" max="15" width="12.54296875" bestFit="1" customWidth="1"/>
    <col min="18" max="18" width="43.08984375" bestFit="1" customWidth="1"/>
    <col min="19" max="19" width="9.1796875" bestFit="1" customWidth="1"/>
  </cols>
  <sheetData>
    <row r="12" spans="1:20" ht="15" thickBot="1" x14ac:dyDescent="0.4"/>
    <row r="13" spans="1:20" ht="18.5" thickTop="1" thickBot="1" x14ac:dyDescent="0.4">
      <c r="A13" s="15"/>
      <c r="B13" s="15"/>
      <c r="C13" s="15" t="s">
        <v>2</v>
      </c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</row>
    <row r="14" spans="1:20" ht="15" thickTop="1" x14ac:dyDescent="0.35"/>
    <row r="16" spans="1:20" x14ac:dyDescent="0.35">
      <c r="C16" s="17">
        <v>1</v>
      </c>
      <c r="D16" s="17" t="str" cm="1">
        <f t="array" ref="D16">INDEX(sys.options,C16)</f>
        <v>Option 1 - Defer to AA6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r="17" spans="3:15" x14ac:dyDescent="0.35">
      <c r="C17" s="4"/>
      <c r="D17" s="4" t="s">
        <v>42</v>
      </c>
      <c r="E17" s="4" t="s">
        <v>4</v>
      </c>
      <c r="F17" s="4" t="s">
        <v>5</v>
      </c>
      <c r="G17" s="4" t="s">
        <v>6</v>
      </c>
      <c r="H17" s="4" t="s">
        <v>7</v>
      </c>
      <c r="I17" s="4" t="s">
        <v>8</v>
      </c>
      <c r="J17" s="4" t="s">
        <v>9</v>
      </c>
      <c r="K17" s="4" t="s">
        <v>10</v>
      </c>
      <c r="L17" s="4" t="s">
        <v>11</v>
      </c>
      <c r="M17" s="4" t="s">
        <v>12</v>
      </c>
      <c r="N17" s="4" t="s">
        <v>13</v>
      </c>
      <c r="O17" s="4" t="s">
        <v>14</v>
      </c>
    </row>
    <row r="18" spans="3:15" x14ac:dyDescent="0.35">
      <c r="C18" s="22"/>
      <c r="D18" s="22" t="s">
        <v>43</v>
      </c>
      <c r="E18" s="22"/>
      <c r="F18" s="22"/>
      <c r="G18" s="22"/>
      <c r="H18" s="22"/>
      <c r="I18" s="22"/>
      <c r="J18" s="22"/>
      <c r="K18" s="22">
        <v>0</v>
      </c>
      <c r="L18" s="22">
        <v>50000</v>
      </c>
      <c r="M18" s="22">
        <v>450000</v>
      </c>
      <c r="N18" s="22"/>
      <c r="O18" s="22"/>
    </row>
    <row r="19" spans="3:15" x14ac:dyDescent="0.35">
      <c r="C19" s="22"/>
      <c r="D19" s="22" t="s">
        <v>15</v>
      </c>
      <c r="E19" s="22"/>
      <c r="F19" s="22"/>
      <c r="G19" s="22"/>
      <c r="H19" s="22"/>
      <c r="I19" s="22"/>
      <c r="J19" s="22"/>
      <c r="K19" s="22">
        <v>50000</v>
      </c>
      <c r="L19" s="22">
        <v>250000</v>
      </c>
      <c r="M19" s="22"/>
      <c r="N19" s="22"/>
      <c r="O19" s="22"/>
    </row>
    <row r="20" spans="3:15" x14ac:dyDescent="0.35">
      <c r="C20" s="22"/>
      <c r="D20" s="22" t="s">
        <v>44</v>
      </c>
      <c r="E20" s="22"/>
      <c r="F20" s="22"/>
      <c r="G20" s="22"/>
      <c r="H20" s="22"/>
      <c r="I20" s="22"/>
      <c r="J20" s="22"/>
      <c r="K20" s="22"/>
      <c r="L20" s="22">
        <v>1150000</v>
      </c>
      <c r="M20" s="22"/>
      <c r="N20" s="22"/>
      <c r="O20" s="22"/>
    </row>
    <row r="21" spans="3:15" x14ac:dyDescent="0.35">
      <c r="C21" s="22"/>
      <c r="D21" s="22" t="s">
        <v>16</v>
      </c>
      <c r="E21" s="22"/>
      <c r="F21" s="22"/>
      <c r="G21" s="22"/>
      <c r="H21" s="22"/>
      <c r="I21" s="22"/>
      <c r="J21" s="22"/>
      <c r="K21" s="22"/>
      <c r="L21" s="22"/>
      <c r="M21" s="22"/>
      <c r="N21" s="22">
        <v>340899</v>
      </c>
      <c r="O21" s="22">
        <v>319719</v>
      </c>
    </row>
    <row r="22" spans="3:15" x14ac:dyDescent="0.35">
      <c r="C22" s="22"/>
      <c r="D22" s="22" t="s">
        <v>45</v>
      </c>
      <c r="E22" s="22"/>
      <c r="F22" s="22"/>
      <c r="G22" s="22"/>
      <c r="H22" s="22"/>
      <c r="I22" s="22"/>
      <c r="J22" s="22"/>
      <c r="K22" s="22"/>
      <c r="L22" s="22"/>
      <c r="M22" s="22"/>
      <c r="N22" s="22">
        <v>50000</v>
      </c>
      <c r="O22" s="22">
        <v>700000</v>
      </c>
    </row>
    <row r="23" spans="3:15" x14ac:dyDescent="0.35">
      <c r="C23" s="22"/>
      <c r="D23" s="22" t="s">
        <v>17</v>
      </c>
      <c r="E23" s="22"/>
      <c r="F23" s="22"/>
      <c r="G23" s="22"/>
      <c r="H23" s="22"/>
      <c r="I23" s="22"/>
      <c r="J23" s="22"/>
      <c r="K23" s="22"/>
      <c r="L23" s="22"/>
      <c r="M23" s="22"/>
      <c r="N23" s="22">
        <v>1100000</v>
      </c>
      <c r="O23" s="22">
        <v>1050000</v>
      </c>
    </row>
    <row r="24" spans="3:15" x14ac:dyDescent="0.35">
      <c r="C24" s="22"/>
      <c r="D24" s="22" t="s">
        <v>46</v>
      </c>
      <c r="E24" s="22"/>
      <c r="F24" s="22"/>
      <c r="G24" s="22"/>
      <c r="H24" s="22"/>
      <c r="I24" s="22"/>
      <c r="J24" s="22"/>
      <c r="K24" s="22"/>
      <c r="L24" s="22"/>
      <c r="M24" s="22">
        <v>50000</v>
      </c>
      <c r="N24" s="22">
        <v>1100000</v>
      </c>
      <c r="O24" s="22">
        <v>0</v>
      </c>
    </row>
    <row r="25" spans="3:15" x14ac:dyDescent="0.35">
      <c r="C25" s="22"/>
      <c r="D25" s="22" t="s">
        <v>47</v>
      </c>
      <c r="E25" s="22"/>
      <c r="F25" s="22"/>
      <c r="G25" s="22"/>
      <c r="H25" s="22"/>
      <c r="I25" s="22"/>
      <c r="J25" s="22"/>
      <c r="K25" s="22"/>
      <c r="L25" s="22">
        <v>50000</v>
      </c>
      <c r="M25" s="22">
        <v>1400000</v>
      </c>
      <c r="N25" s="22"/>
      <c r="O25" s="22"/>
    </row>
    <row r="26" spans="3:15" x14ac:dyDescent="0.35">
      <c r="C26" s="22"/>
      <c r="D26" s="22" t="s">
        <v>48</v>
      </c>
      <c r="E26" s="22"/>
      <c r="F26" s="22"/>
      <c r="G26" s="22"/>
      <c r="H26" s="22"/>
      <c r="I26" s="22"/>
      <c r="J26" s="22"/>
      <c r="K26" s="22"/>
      <c r="L26" s="22">
        <v>50000</v>
      </c>
      <c r="M26" s="22">
        <v>1550000</v>
      </c>
      <c r="N26" s="22"/>
      <c r="O26" s="22"/>
    </row>
    <row r="27" spans="3:15" x14ac:dyDescent="0.35">
      <c r="C27" s="22"/>
      <c r="D27" s="22" t="s">
        <v>18</v>
      </c>
      <c r="E27" s="22"/>
      <c r="F27" s="22"/>
      <c r="G27" s="22"/>
      <c r="H27" s="22"/>
      <c r="I27" s="22"/>
      <c r="J27" s="22"/>
      <c r="K27" s="22">
        <v>411841</v>
      </c>
      <c r="L27" s="22">
        <v>0</v>
      </c>
      <c r="M27" s="22"/>
      <c r="N27" s="22"/>
      <c r="O27" s="22"/>
    </row>
    <row r="28" spans="3:15" x14ac:dyDescent="0.35">
      <c r="C28" s="22"/>
      <c r="D28" s="22" t="s">
        <v>49</v>
      </c>
      <c r="E28" s="22"/>
      <c r="F28" s="22"/>
      <c r="G28" s="22"/>
      <c r="H28" s="22"/>
      <c r="I28" s="22"/>
      <c r="J28" s="22"/>
      <c r="K28" s="22">
        <v>0</v>
      </c>
      <c r="L28" s="22">
        <v>50000</v>
      </c>
      <c r="M28" s="22">
        <v>500000</v>
      </c>
      <c r="N28" s="22"/>
      <c r="O28" s="22"/>
    </row>
    <row r="29" spans="3:15" x14ac:dyDescent="0.35">
      <c r="C29" s="22"/>
      <c r="D29" s="22" t="s">
        <v>50</v>
      </c>
      <c r="E29" s="22"/>
      <c r="F29" s="22"/>
      <c r="G29" s="22"/>
      <c r="H29" s="22"/>
      <c r="I29" s="22"/>
      <c r="J29" s="22"/>
      <c r="K29" s="22">
        <v>0</v>
      </c>
      <c r="L29" s="22">
        <v>50000</v>
      </c>
      <c r="M29" s="22">
        <v>1000000</v>
      </c>
      <c r="N29" s="22"/>
      <c r="O29" s="22"/>
    </row>
    <row r="30" spans="3:15" x14ac:dyDescent="0.35">
      <c r="C30" s="22"/>
      <c r="D30" s="22" t="s">
        <v>19</v>
      </c>
      <c r="E30" s="22"/>
      <c r="F30" s="22"/>
      <c r="G30" s="22"/>
      <c r="H30" s="22"/>
      <c r="I30" s="22"/>
      <c r="J30" s="22"/>
      <c r="K30" s="22">
        <v>433239</v>
      </c>
      <c r="L30" s="22"/>
      <c r="M30" s="22"/>
      <c r="N30" s="22"/>
      <c r="O30" s="22"/>
    </row>
    <row r="31" spans="3:15" x14ac:dyDescent="0.35">
      <c r="C31" s="22"/>
      <c r="D31" s="22" t="s">
        <v>20</v>
      </c>
      <c r="E31" s="22"/>
      <c r="F31" s="22"/>
      <c r="G31" s="22"/>
      <c r="H31" s="22"/>
      <c r="I31" s="22"/>
      <c r="J31" s="22"/>
      <c r="K31" s="22">
        <v>526937</v>
      </c>
      <c r="L31" s="22">
        <v>382513</v>
      </c>
      <c r="M31" s="22"/>
      <c r="N31" s="22"/>
      <c r="O31" s="22"/>
    </row>
    <row r="32" spans="3:15" x14ac:dyDescent="0.35">
      <c r="C32" s="22"/>
      <c r="D32" s="22" t="s">
        <v>21</v>
      </c>
      <c r="E32" s="22"/>
      <c r="F32" s="22"/>
      <c r="G32" s="22"/>
      <c r="H32" s="22"/>
      <c r="I32" s="22"/>
      <c r="J32" s="22"/>
      <c r="K32" s="22">
        <v>200000</v>
      </c>
      <c r="L32" s="22">
        <v>800000</v>
      </c>
      <c r="M32" s="22">
        <v>1500000</v>
      </c>
      <c r="N32" s="22"/>
      <c r="O32" s="22"/>
    </row>
    <row r="33" spans="3:15" x14ac:dyDescent="0.35">
      <c r="C33" s="22"/>
      <c r="D33" s="22" t="s">
        <v>22</v>
      </c>
      <c r="E33" s="22"/>
      <c r="F33" s="22"/>
      <c r="G33" s="22"/>
      <c r="H33" s="22"/>
      <c r="I33" s="22"/>
      <c r="J33" s="22"/>
      <c r="K33" s="22">
        <v>195000</v>
      </c>
      <c r="L33" s="22">
        <v>555000</v>
      </c>
      <c r="M33" s="22"/>
      <c r="N33" s="22"/>
      <c r="O33" s="22"/>
    </row>
    <row r="34" spans="3:15" x14ac:dyDescent="0.35">
      <c r="C34" s="22"/>
      <c r="D34" s="22" t="s">
        <v>23</v>
      </c>
      <c r="E34" s="22"/>
      <c r="F34" s="22"/>
      <c r="G34" s="22"/>
      <c r="H34" s="22"/>
      <c r="I34" s="22"/>
      <c r="J34" s="22"/>
      <c r="K34" s="22">
        <v>60000</v>
      </c>
      <c r="L34" s="22"/>
      <c r="M34" s="22"/>
      <c r="N34" s="22">
        <v>1750000</v>
      </c>
      <c r="O34" s="22"/>
    </row>
    <row r="35" spans="3:15" x14ac:dyDescent="0.35">
      <c r="C35" s="22"/>
      <c r="D35" s="22" t="s">
        <v>24</v>
      </c>
      <c r="E35" s="22"/>
      <c r="F35" s="22"/>
      <c r="G35" s="22"/>
      <c r="H35" s="22"/>
      <c r="I35" s="22"/>
      <c r="J35" s="22"/>
      <c r="K35" s="22">
        <v>50000</v>
      </c>
      <c r="L35" s="22">
        <v>200000</v>
      </c>
      <c r="M35" s="22"/>
      <c r="N35" s="22">
        <v>0</v>
      </c>
      <c r="O35" s="22"/>
    </row>
    <row r="36" spans="3:15" x14ac:dyDescent="0.35">
      <c r="C36" s="22"/>
      <c r="D36" s="22" t="s">
        <v>25</v>
      </c>
      <c r="E36" s="22"/>
      <c r="F36" s="22"/>
      <c r="G36" s="22"/>
      <c r="H36" s="22"/>
      <c r="I36" s="22"/>
      <c r="J36" s="22"/>
      <c r="K36" s="22">
        <v>195000</v>
      </c>
      <c r="L36" s="22">
        <v>1405000</v>
      </c>
      <c r="M36" s="22"/>
      <c r="N36" s="22">
        <v>0</v>
      </c>
      <c r="O36" s="22"/>
    </row>
    <row r="37" spans="3:15" x14ac:dyDescent="0.35">
      <c r="C37" s="22"/>
      <c r="D37" s="22" t="s">
        <v>26</v>
      </c>
      <c r="E37" s="22"/>
      <c r="F37" s="22"/>
      <c r="G37" s="22"/>
      <c r="H37" s="22"/>
      <c r="I37" s="22"/>
      <c r="J37" s="22"/>
      <c r="K37" s="22">
        <v>567000</v>
      </c>
      <c r="L37" s="22">
        <v>1100000</v>
      </c>
      <c r="M37" s="22"/>
      <c r="N37" s="22">
        <v>0</v>
      </c>
      <c r="O37" s="22"/>
    </row>
    <row r="38" spans="3:15" x14ac:dyDescent="0.35">
      <c r="C38" s="22"/>
      <c r="D38" s="22" t="s">
        <v>27</v>
      </c>
      <c r="E38" s="22"/>
      <c r="F38" s="22"/>
      <c r="G38" s="22"/>
      <c r="H38" s="22"/>
      <c r="I38" s="22"/>
      <c r="J38" s="22"/>
      <c r="K38" s="22">
        <v>742026</v>
      </c>
      <c r="L38" s="22">
        <v>1450655</v>
      </c>
      <c r="M38" s="22"/>
      <c r="N38" s="22">
        <v>0</v>
      </c>
      <c r="O38" s="22"/>
    </row>
    <row r="39" spans="3:15" x14ac:dyDescent="0.35">
      <c r="C39" s="22"/>
      <c r="D39" s="22" t="s">
        <v>28</v>
      </c>
      <c r="E39" s="22"/>
      <c r="F39" s="22"/>
      <c r="G39" s="22"/>
      <c r="H39" s="22"/>
      <c r="I39" s="22"/>
      <c r="J39" s="22"/>
      <c r="K39" s="22"/>
      <c r="L39" s="22">
        <v>1514367</v>
      </c>
      <c r="M39" s="22"/>
      <c r="N39" s="22">
        <v>0</v>
      </c>
      <c r="O39" s="22"/>
    </row>
    <row r="40" spans="3:15" x14ac:dyDescent="0.35">
      <c r="C40" s="22"/>
      <c r="D40" s="22" t="s">
        <v>29</v>
      </c>
      <c r="E40" s="22"/>
      <c r="F40" s="22"/>
      <c r="G40" s="22"/>
      <c r="H40" s="22"/>
      <c r="I40" s="22"/>
      <c r="J40" s="22"/>
      <c r="K40" s="22"/>
      <c r="L40" s="22"/>
      <c r="M40" s="22"/>
      <c r="N40" s="22">
        <v>50000</v>
      </c>
      <c r="O40" s="22">
        <v>1100000</v>
      </c>
    </row>
    <row r="41" spans="3:15" x14ac:dyDescent="0.35">
      <c r="C41" s="22"/>
      <c r="D41" s="22" t="s">
        <v>30</v>
      </c>
      <c r="E41" s="22"/>
      <c r="F41" s="22"/>
      <c r="G41" s="22"/>
      <c r="H41" s="22"/>
      <c r="I41" s="22"/>
      <c r="J41" s="22"/>
      <c r="K41" s="22"/>
      <c r="L41" s="22">
        <v>50000</v>
      </c>
      <c r="M41" s="22">
        <v>200000</v>
      </c>
      <c r="N41" s="22">
        <v>1350000</v>
      </c>
      <c r="O41" s="22"/>
    </row>
    <row r="42" spans="3:15" x14ac:dyDescent="0.35">
      <c r="C42" s="22"/>
      <c r="D42" s="22" t="s">
        <v>31</v>
      </c>
      <c r="E42" s="22"/>
      <c r="F42" s="22"/>
      <c r="G42" s="22"/>
      <c r="H42" s="22"/>
      <c r="I42" s="22"/>
      <c r="J42" s="22"/>
      <c r="K42" s="22"/>
      <c r="L42" s="22">
        <v>100000</v>
      </c>
      <c r="M42" s="22">
        <v>1750000</v>
      </c>
      <c r="N42" s="22"/>
      <c r="O42" s="22"/>
    </row>
    <row r="43" spans="3:15" x14ac:dyDescent="0.35">
      <c r="C43" s="22"/>
      <c r="D43" s="22" t="s">
        <v>32</v>
      </c>
      <c r="E43" s="22"/>
      <c r="F43" s="22"/>
      <c r="G43" s="22"/>
      <c r="H43" s="22"/>
      <c r="I43" s="22"/>
      <c r="J43" s="22"/>
      <c r="K43" s="22">
        <v>1147121</v>
      </c>
      <c r="L43" s="22">
        <v>750451</v>
      </c>
      <c r="M43" s="22"/>
      <c r="N43" s="22"/>
      <c r="O43" s="22"/>
    </row>
    <row r="44" spans="3:15" x14ac:dyDescent="0.35">
      <c r="C44" s="22"/>
      <c r="D44" s="22" t="s">
        <v>33</v>
      </c>
      <c r="E44" s="22"/>
      <c r="F44" s="22"/>
      <c r="G44" s="22"/>
      <c r="H44" s="22"/>
      <c r="I44" s="22"/>
      <c r="J44" s="22"/>
      <c r="K44" s="22">
        <v>0</v>
      </c>
      <c r="L44" s="22">
        <v>0</v>
      </c>
      <c r="M44" s="22"/>
      <c r="N44" s="22">
        <v>50000</v>
      </c>
      <c r="O44" s="22">
        <v>1400000</v>
      </c>
    </row>
    <row r="45" spans="3:15" x14ac:dyDescent="0.35">
      <c r="C45" s="22"/>
      <c r="D45" s="22" t="s">
        <v>34</v>
      </c>
      <c r="E45" s="22"/>
      <c r="F45" s="22"/>
      <c r="G45" s="22"/>
      <c r="H45" s="22"/>
      <c r="I45" s="22"/>
      <c r="J45" s="22"/>
      <c r="K45" s="22">
        <v>0</v>
      </c>
      <c r="L45" s="22">
        <v>750000</v>
      </c>
      <c r="M45" s="22"/>
      <c r="N45" s="22"/>
      <c r="O45" s="22"/>
    </row>
    <row r="46" spans="3:15" x14ac:dyDescent="0.35">
      <c r="C46" s="22"/>
      <c r="D46" s="22" t="s">
        <v>35</v>
      </c>
      <c r="E46" s="22"/>
      <c r="F46" s="22"/>
      <c r="G46" s="22"/>
      <c r="H46" s="22"/>
      <c r="I46" s="22"/>
      <c r="J46" s="22"/>
      <c r="K46" s="22">
        <v>50000</v>
      </c>
      <c r="L46" s="22">
        <v>1550000</v>
      </c>
      <c r="M46" s="22"/>
      <c r="N46" s="22"/>
      <c r="O46" s="22"/>
    </row>
    <row r="47" spans="3:15" x14ac:dyDescent="0.35">
      <c r="C47" s="22"/>
      <c r="D47" s="22" t="s">
        <v>36</v>
      </c>
      <c r="E47" s="22"/>
      <c r="F47" s="22"/>
      <c r="G47" s="22"/>
      <c r="H47" s="22"/>
      <c r="I47" s="22"/>
      <c r="J47" s="22"/>
      <c r="K47" s="22">
        <v>0</v>
      </c>
      <c r="L47" s="22"/>
      <c r="M47" s="22">
        <v>50000</v>
      </c>
      <c r="N47" s="22">
        <v>1100000</v>
      </c>
      <c r="O47" s="22"/>
    </row>
    <row r="48" spans="3:15" x14ac:dyDescent="0.35">
      <c r="C48" s="22"/>
      <c r="D48" s="22" t="s">
        <v>37</v>
      </c>
      <c r="E48" s="22"/>
      <c r="F48" s="22"/>
      <c r="G48" s="22"/>
      <c r="H48" s="22"/>
      <c r="I48" s="22"/>
      <c r="J48" s="22"/>
      <c r="K48" s="22">
        <v>763233</v>
      </c>
      <c r="L48" s="22">
        <v>635657</v>
      </c>
      <c r="M48" s="22"/>
      <c r="N48" s="22"/>
      <c r="O48" s="22"/>
    </row>
    <row r="49" spans="3:15" x14ac:dyDescent="0.35">
      <c r="C49" s="22"/>
      <c r="D49" s="22" t="s">
        <v>38</v>
      </c>
      <c r="E49" s="22"/>
      <c r="F49" s="22"/>
      <c r="G49" s="22"/>
      <c r="H49" s="22"/>
      <c r="I49" s="22"/>
      <c r="J49" s="22"/>
      <c r="K49" s="22"/>
      <c r="L49" s="22"/>
      <c r="M49" s="22"/>
      <c r="N49" s="22">
        <v>50000</v>
      </c>
      <c r="O49" s="22">
        <v>1100000</v>
      </c>
    </row>
    <row r="50" spans="3:15" x14ac:dyDescent="0.35">
      <c r="C50" s="22"/>
      <c r="D50" s="22" t="s">
        <v>39</v>
      </c>
      <c r="E50" s="22"/>
      <c r="F50" s="22"/>
      <c r="G50" s="22"/>
      <c r="H50" s="22"/>
      <c r="I50" s="22"/>
      <c r="J50" s="22"/>
      <c r="K50" s="22">
        <v>50000</v>
      </c>
      <c r="L50" s="22">
        <v>550000</v>
      </c>
      <c r="M50" s="22"/>
      <c r="N50" s="22"/>
      <c r="O50" s="22"/>
    </row>
    <row r="51" spans="3:15" x14ac:dyDescent="0.35">
      <c r="C51" s="22"/>
      <c r="D51" s="22" t="s">
        <v>40</v>
      </c>
      <c r="E51" s="22"/>
      <c r="F51" s="22"/>
      <c r="G51" s="22"/>
      <c r="H51" s="22"/>
      <c r="I51" s="22"/>
      <c r="J51" s="22"/>
      <c r="K51" s="22"/>
      <c r="L51" s="22">
        <v>50000</v>
      </c>
      <c r="M51" s="22">
        <v>200000</v>
      </c>
      <c r="N51" s="22"/>
      <c r="O51" s="22"/>
    </row>
    <row r="52" spans="3:15" x14ac:dyDescent="0.35">
      <c r="C52" s="22"/>
      <c r="D52" s="22" t="s">
        <v>41</v>
      </c>
      <c r="E52" s="22"/>
      <c r="F52" s="22"/>
      <c r="G52" s="22"/>
      <c r="H52" s="22"/>
      <c r="I52" s="22"/>
      <c r="J52" s="22"/>
      <c r="K52" s="22"/>
      <c r="L52" s="22"/>
      <c r="M52" s="22"/>
      <c r="N52" s="22">
        <v>50000</v>
      </c>
      <c r="O52" s="22">
        <v>1100000</v>
      </c>
    </row>
    <row r="53" spans="3:15" x14ac:dyDescent="0.35"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</row>
    <row r="54" spans="3:15" x14ac:dyDescent="0.35">
      <c r="C54" s="22"/>
      <c r="D54" s="22" t="s">
        <v>53</v>
      </c>
      <c r="E54" s="22"/>
      <c r="F54" s="22">
        <f>SUM($K$59:O59)*1%</f>
        <v>413456.58</v>
      </c>
      <c r="G54" s="22">
        <f>SUM($K$59:P59)*1%</f>
        <v>413456.58</v>
      </c>
      <c r="H54" s="22">
        <f>SUM($K$59:Q59)*1%</f>
        <v>413456.58</v>
      </c>
      <c r="I54" s="22">
        <f>SUM($K$59:R59)*1%</f>
        <v>413456.58</v>
      </c>
      <c r="J54" s="22">
        <f>SUM($K$59:S59)*1%</f>
        <v>413456.58</v>
      </c>
      <c r="K54" s="22"/>
      <c r="L54" s="22"/>
      <c r="M54" s="22"/>
      <c r="N54" s="22"/>
      <c r="O54" s="22"/>
    </row>
    <row r="55" spans="3:15" x14ac:dyDescent="0.35"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</row>
    <row r="56" spans="3:15" x14ac:dyDescent="0.35"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</row>
    <row r="57" spans="3:15" x14ac:dyDescent="0.35"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</row>
    <row r="59" spans="3:15" x14ac:dyDescent="0.35">
      <c r="C59" s="22"/>
      <c r="D59" s="27" t="s">
        <v>51</v>
      </c>
      <c r="E59" s="27">
        <f>SUM(E18:E57)</f>
        <v>0</v>
      </c>
      <c r="F59" s="27">
        <f t="shared" ref="F59:O59" si="0">SUM(F18:F57)</f>
        <v>413456.58</v>
      </c>
      <c r="G59" s="27">
        <f t="shared" si="0"/>
        <v>413456.58</v>
      </c>
      <c r="H59" s="27">
        <f t="shared" si="0"/>
        <v>413456.58</v>
      </c>
      <c r="I59" s="27">
        <f t="shared" si="0"/>
        <v>413456.58</v>
      </c>
      <c r="J59" s="27">
        <f t="shared" si="0"/>
        <v>413456.58</v>
      </c>
      <c r="K59" s="27">
        <f t="shared" si="0"/>
        <v>5441397</v>
      </c>
      <c r="L59" s="27">
        <f t="shared" si="0"/>
        <v>13493643</v>
      </c>
      <c r="M59" s="27">
        <f t="shared" si="0"/>
        <v>8650000</v>
      </c>
      <c r="N59" s="27">
        <f>SUM(N18:N57)</f>
        <v>6990899</v>
      </c>
      <c r="O59" s="27">
        <f t="shared" si="0"/>
        <v>6769719</v>
      </c>
    </row>
    <row r="61" spans="3:15" x14ac:dyDescent="0.35">
      <c r="C61" s="2"/>
      <c r="E61" s="28"/>
    </row>
    <row r="62" spans="3:15" x14ac:dyDescent="0.35">
      <c r="C62" s="17">
        <v>2</v>
      </c>
      <c r="D62" s="17" t="str" cm="1">
        <f t="array" ref="D62">INDEX(sys.options,C62)</f>
        <v>Option 2 - Focus on control and cathodic protection systems</v>
      </c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</row>
    <row r="63" spans="3:15" x14ac:dyDescent="0.35">
      <c r="C63" s="4"/>
      <c r="D63" s="4" t="s">
        <v>42</v>
      </c>
      <c r="E63" s="4" t="s">
        <v>4</v>
      </c>
      <c r="F63" s="4" t="s">
        <v>5</v>
      </c>
      <c r="G63" s="4" t="s">
        <v>6</v>
      </c>
      <c r="H63" s="4" t="s">
        <v>7</v>
      </c>
      <c r="I63" s="4" t="s">
        <v>8</v>
      </c>
      <c r="J63" s="4" t="s">
        <v>9</v>
      </c>
      <c r="K63" s="4" t="s">
        <v>10</v>
      </c>
      <c r="L63" s="4" t="s">
        <v>11</v>
      </c>
      <c r="M63" s="4" t="s">
        <v>12</v>
      </c>
      <c r="N63" s="4" t="s">
        <v>13</v>
      </c>
      <c r="O63" s="4" t="s">
        <v>14</v>
      </c>
    </row>
    <row r="64" spans="3:15" x14ac:dyDescent="0.35">
      <c r="C64" s="22"/>
      <c r="D64" s="22" t="s">
        <v>43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50000</v>
      </c>
      <c r="M64" s="22">
        <v>450000</v>
      </c>
      <c r="N64" s="22">
        <v>0</v>
      </c>
      <c r="O64" s="22">
        <v>0</v>
      </c>
    </row>
    <row r="65" spans="3:19" x14ac:dyDescent="0.35">
      <c r="C65" s="22"/>
      <c r="D65" s="22" t="s">
        <v>15</v>
      </c>
      <c r="E65" s="22">
        <v>0</v>
      </c>
      <c r="F65" s="22">
        <v>50000</v>
      </c>
      <c r="G65" s="22">
        <v>250000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R65" s="4" t="s">
        <v>83</v>
      </c>
      <c r="S65" s="4" t="s">
        <v>90</v>
      </c>
    </row>
    <row r="66" spans="3:19" x14ac:dyDescent="0.35">
      <c r="C66" s="22"/>
      <c r="D66" s="22" t="s">
        <v>44</v>
      </c>
      <c r="E66" s="22">
        <v>0</v>
      </c>
      <c r="F66" s="22">
        <v>0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1150000</v>
      </c>
      <c r="M66" s="22">
        <v>0</v>
      </c>
      <c r="N66" s="22">
        <v>0</v>
      </c>
      <c r="O66" s="22">
        <v>0</v>
      </c>
      <c r="R66" s="22" t="s">
        <v>54</v>
      </c>
      <c r="S66" s="22">
        <v>300000</v>
      </c>
    </row>
    <row r="67" spans="3:19" x14ac:dyDescent="0.35">
      <c r="C67" s="22"/>
      <c r="D67" s="22" t="s">
        <v>16</v>
      </c>
      <c r="E67" s="22">
        <v>0</v>
      </c>
      <c r="F67" s="22">
        <v>340899</v>
      </c>
      <c r="G67" s="22">
        <v>319719</v>
      </c>
      <c r="H67" s="22">
        <v>0</v>
      </c>
      <c r="I67" s="22">
        <v>0</v>
      </c>
      <c r="J67" s="22">
        <v>0</v>
      </c>
      <c r="K67" s="22">
        <v>0</v>
      </c>
      <c r="L67" s="22">
        <v>0</v>
      </c>
      <c r="M67" s="22">
        <v>0</v>
      </c>
      <c r="N67" s="22">
        <v>0</v>
      </c>
      <c r="O67" s="22">
        <v>0</v>
      </c>
      <c r="R67" s="22" t="s">
        <v>55</v>
      </c>
      <c r="S67" s="22">
        <v>300000</v>
      </c>
    </row>
    <row r="68" spans="3:19" x14ac:dyDescent="0.35">
      <c r="C68" s="22"/>
      <c r="D68" s="22" t="s">
        <v>45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0</v>
      </c>
      <c r="N68" s="22">
        <v>50000</v>
      </c>
      <c r="O68" s="22">
        <v>700000</v>
      </c>
      <c r="R68" s="22" t="s">
        <v>56</v>
      </c>
      <c r="S68" s="29">
        <v>1.5</v>
      </c>
    </row>
    <row r="69" spans="3:19" x14ac:dyDescent="0.35">
      <c r="C69" s="22"/>
      <c r="D69" s="22" t="s">
        <v>17</v>
      </c>
      <c r="E69" s="22">
        <v>0</v>
      </c>
      <c r="F69" s="22">
        <v>1100000</v>
      </c>
      <c r="G69" s="22">
        <f>1050000-$S$66</f>
        <v>750000</v>
      </c>
      <c r="H69" s="22">
        <v>0</v>
      </c>
      <c r="I69" s="22">
        <v>0</v>
      </c>
      <c r="J69" s="22">
        <v>0</v>
      </c>
      <c r="K69" s="22">
        <v>0</v>
      </c>
      <c r="L69" s="22">
        <f>S66*S68</f>
        <v>450000</v>
      </c>
      <c r="M69" s="22">
        <v>0</v>
      </c>
      <c r="N69" s="22">
        <v>0</v>
      </c>
      <c r="O69" s="22">
        <v>0</v>
      </c>
    </row>
    <row r="70" spans="3:19" x14ac:dyDescent="0.35">
      <c r="C70" s="22"/>
      <c r="D70" s="22" t="s">
        <v>46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2">
        <v>0</v>
      </c>
      <c r="M70" s="22">
        <v>50000</v>
      </c>
      <c r="N70" s="22">
        <v>1100000</v>
      </c>
      <c r="O70" s="22">
        <v>0</v>
      </c>
    </row>
    <row r="71" spans="3:19" x14ac:dyDescent="0.35">
      <c r="C71" s="22"/>
      <c r="D71" s="22" t="s">
        <v>47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50000</v>
      </c>
      <c r="M71" s="22">
        <v>1400000</v>
      </c>
      <c r="N71" s="22">
        <v>0</v>
      </c>
      <c r="O71" s="22">
        <v>0</v>
      </c>
    </row>
    <row r="72" spans="3:19" x14ac:dyDescent="0.35">
      <c r="C72" s="22"/>
      <c r="D72" s="22" t="s">
        <v>48</v>
      </c>
      <c r="E72" s="22">
        <v>0</v>
      </c>
      <c r="F72" s="22">
        <v>0</v>
      </c>
      <c r="G72" s="22">
        <v>0</v>
      </c>
      <c r="H72" s="22">
        <v>0</v>
      </c>
      <c r="I72" s="22">
        <v>0</v>
      </c>
      <c r="J72" s="22">
        <v>0</v>
      </c>
      <c r="K72" s="22">
        <v>0</v>
      </c>
      <c r="L72" s="22">
        <v>50000</v>
      </c>
      <c r="M72" s="22">
        <v>1550000</v>
      </c>
      <c r="N72" s="22">
        <v>0</v>
      </c>
      <c r="O72" s="22">
        <v>0</v>
      </c>
    </row>
    <row r="73" spans="3:19" x14ac:dyDescent="0.35">
      <c r="C73" s="22"/>
      <c r="D73" s="22" t="s">
        <v>18</v>
      </c>
      <c r="E73" s="22">
        <f>411841</f>
        <v>411841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0</v>
      </c>
      <c r="L73" s="22"/>
      <c r="M73" s="22">
        <v>0</v>
      </c>
      <c r="N73" s="22">
        <v>0</v>
      </c>
      <c r="O73" s="22">
        <v>0</v>
      </c>
    </row>
    <row r="74" spans="3:19" x14ac:dyDescent="0.35">
      <c r="C74" s="22"/>
      <c r="D74" s="22" t="s">
        <v>49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0</v>
      </c>
      <c r="L74" s="22">
        <v>50000</v>
      </c>
      <c r="M74" s="22">
        <v>500000</v>
      </c>
      <c r="N74" s="22">
        <v>0</v>
      </c>
      <c r="O74" s="22">
        <v>0</v>
      </c>
    </row>
    <row r="75" spans="3:19" x14ac:dyDescent="0.35">
      <c r="C75" s="22"/>
      <c r="D75" s="22" t="s">
        <v>50</v>
      </c>
      <c r="E75" s="22">
        <v>0</v>
      </c>
      <c r="F75" s="22">
        <v>0</v>
      </c>
      <c r="G75" s="22">
        <v>0</v>
      </c>
      <c r="H75" s="22">
        <v>0</v>
      </c>
      <c r="I75" s="22">
        <v>0</v>
      </c>
      <c r="J75" s="22">
        <v>0</v>
      </c>
      <c r="K75" s="22">
        <v>0</v>
      </c>
      <c r="L75" s="22">
        <v>50000</v>
      </c>
      <c r="M75" s="22">
        <v>1000000</v>
      </c>
      <c r="N75" s="22">
        <v>0</v>
      </c>
      <c r="O75" s="22">
        <v>0</v>
      </c>
    </row>
    <row r="76" spans="3:19" x14ac:dyDescent="0.35">
      <c r="C76" s="22"/>
      <c r="D76" s="22" t="s">
        <v>19</v>
      </c>
      <c r="E76" s="22">
        <v>433239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0</v>
      </c>
      <c r="N76" s="22">
        <v>0</v>
      </c>
      <c r="O76" s="22">
        <v>0</v>
      </c>
    </row>
    <row r="77" spans="3:19" x14ac:dyDescent="0.35">
      <c r="C77" s="22"/>
      <c r="D77" s="22" t="s">
        <v>20</v>
      </c>
      <c r="E77" s="22">
        <v>526937</v>
      </c>
      <c r="F77" s="22">
        <v>382513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</row>
    <row r="78" spans="3:19" x14ac:dyDescent="0.35">
      <c r="C78" s="22"/>
      <c r="D78" s="22" t="s">
        <v>21</v>
      </c>
      <c r="E78" s="22">
        <v>200000</v>
      </c>
      <c r="F78" s="22">
        <v>800000</v>
      </c>
      <c r="G78" s="22">
        <f>1500000-S66-S67</f>
        <v>900000</v>
      </c>
      <c r="H78" s="22">
        <v>0</v>
      </c>
      <c r="I78" s="22">
        <v>0</v>
      </c>
      <c r="J78" s="22">
        <v>0</v>
      </c>
      <c r="K78" s="22">
        <v>0</v>
      </c>
      <c r="L78" s="22">
        <v>0</v>
      </c>
      <c r="M78" s="22">
        <f>(S66+S67)*S68</f>
        <v>900000</v>
      </c>
      <c r="N78" s="22">
        <v>0</v>
      </c>
      <c r="O78" s="22">
        <v>0</v>
      </c>
    </row>
    <row r="79" spans="3:19" x14ac:dyDescent="0.35">
      <c r="C79" s="22"/>
      <c r="D79" s="22" t="s">
        <v>22</v>
      </c>
      <c r="E79" s="22">
        <v>195000</v>
      </c>
      <c r="F79" s="22">
        <f>555000</f>
        <v>555000</v>
      </c>
      <c r="G79" s="22">
        <v>0</v>
      </c>
      <c r="H79" s="22">
        <v>0</v>
      </c>
      <c r="I79" s="22">
        <v>0</v>
      </c>
      <c r="J79" s="22">
        <v>0</v>
      </c>
      <c r="K79" s="22">
        <v>0</v>
      </c>
      <c r="L79" s="22"/>
      <c r="M79" s="22">
        <v>0</v>
      </c>
      <c r="N79" s="22">
        <v>0</v>
      </c>
      <c r="O79" s="22">
        <v>0</v>
      </c>
    </row>
    <row r="80" spans="3:19" x14ac:dyDescent="0.35">
      <c r="C80" s="22"/>
      <c r="D80" s="22" t="s">
        <v>23</v>
      </c>
      <c r="E80" s="22">
        <v>60000</v>
      </c>
      <c r="F80" s="22">
        <v>0</v>
      </c>
      <c r="G80" s="22">
        <f>1750000-S66-S67</f>
        <v>1150000</v>
      </c>
      <c r="H80" s="22">
        <v>0</v>
      </c>
      <c r="I80" s="22">
        <v>0</v>
      </c>
      <c r="J80" s="22">
        <v>0</v>
      </c>
      <c r="K80" s="22">
        <v>0</v>
      </c>
      <c r="L80" s="22">
        <f>(S66+S67)*S68</f>
        <v>900000</v>
      </c>
      <c r="M80" s="22">
        <v>0</v>
      </c>
      <c r="N80" s="22">
        <v>0</v>
      </c>
      <c r="O80" s="22">
        <v>0</v>
      </c>
    </row>
    <row r="81" spans="3:15" x14ac:dyDescent="0.35">
      <c r="C81" s="22"/>
      <c r="D81" s="22" t="s">
        <v>24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0</v>
      </c>
      <c r="K81" s="22">
        <v>50000</v>
      </c>
      <c r="L81" s="22">
        <v>200000</v>
      </c>
      <c r="M81" s="22">
        <v>0</v>
      </c>
      <c r="N81" s="22">
        <v>0</v>
      </c>
      <c r="O81" s="22">
        <v>0</v>
      </c>
    </row>
    <row r="82" spans="3:15" x14ac:dyDescent="0.35">
      <c r="C82" s="22"/>
      <c r="D82" s="22" t="s">
        <v>25</v>
      </c>
      <c r="E82" s="22">
        <v>195000</v>
      </c>
      <c r="F82" s="22">
        <f>1405000-S66-S67</f>
        <v>805000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f>(S66+S67)*S68</f>
        <v>900000</v>
      </c>
      <c r="M82" s="22">
        <v>0</v>
      </c>
      <c r="N82" s="22">
        <v>0</v>
      </c>
      <c r="O82" s="22">
        <v>0</v>
      </c>
    </row>
    <row r="83" spans="3:15" x14ac:dyDescent="0.35">
      <c r="C83" s="22"/>
      <c r="D83" s="22" t="s">
        <v>26</v>
      </c>
      <c r="E83" s="22">
        <v>567000</v>
      </c>
      <c r="F83" s="22">
        <v>1100000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0</v>
      </c>
      <c r="N83" s="22">
        <v>0</v>
      </c>
      <c r="O83" s="22">
        <v>0</v>
      </c>
    </row>
    <row r="84" spans="3:15" x14ac:dyDescent="0.35">
      <c r="C84" s="22"/>
      <c r="D84" s="22" t="s">
        <v>27</v>
      </c>
      <c r="E84" s="22">
        <v>742026</v>
      </c>
      <c r="F84" s="22">
        <v>1450655</v>
      </c>
      <c r="G84" s="22">
        <v>0</v>
      </c>
      <c r="H84" s="22">
        <v>0</v>
      </c>
      <c r="I84" s="22">
        <v>0</v>
      </c>
      <c r="J84" s="22">
        <v>0</v>
      </c>
      <c r="K84" s="22">
        <v>0</v>
      </c>
      <c r="L84" s="22">
        <v>0</v>
      </c>
      <c r="M84" s="22">
        <v>0</v>
      </c>
      <c r="N84" s="22">
        <v>0</v>
      </c>
      <c r="O84" s="22">
        <v>0</v>
      </c>
    </row>
    <row r="85" spans="3:15" x14ac:dyDescent="0.35">
      <c r="C85" s="22"/>
      <c r="D85" s="22" t="s">
        <v>28</v>
      </c>
      <c r="E85" s="22">
        <v>0</v>
      </c>
      <c r="F85" s="22">
        <f>1514367-S66</f>
        <v>1214367</v>
      </c>
      <c r="G85" s="22">
        <v>0</v>
      </c>
      <c r="H85" s="22">
        <v>0</v>
      </c>
      <c r="I85" s="22">
        <v>0</v>
      </c>
      <c r="J85" s="22">
        <v>0</v>
      </c>
      <c r="K85" s="22">
        <v>0</v>
      </c>
      <c r="L85" s="22">
        <f>S66*S68</f>
        <v>450000</v>
      </c>
      <c r="M85" s="22">
        <v>0</v>
      </c>
      <c r="N85" s="22">
        <v>0</v>
      </c>
      <c r="O85" s="22">
        <v>0</v>
      </c>
    </row>
    <row r="86" spans="3:15" x14ac:dyDescent="0.35">
      <c r="C86" s="22"/>
      <c r="D86" s="22" t="s">
        <v>29</v>
      </c>
      <c r="E86" s="22">
        <v>0</v>
      </c>
      <c r="F86" s="22">
        <v>0</v>
      </c>
      <c r="G86" s="22">
        <v>0</v>
      </c>
      <c r="H86" s="22">
        <v>50000</v>
      </c>
      <c r="I86" s="22">
        <f>1100000-S66</f>
        <v>800000</v>
      </c>
      <c r="J86" s="22">
        <v>0</v>
      </c>
      <c r="K86" s="22">
        <v>0</v>
      </c>
      <c r="L86" s="22">
        <v>0</v>
      </c>
      <c r="M86" s="22">
        <v>0</v>
      </c>
      <c r="N86" s="22">
        <f>S66*S68</f>
        <v>450000</v>
      </c>
      <c r="O86" s="22">
        <v>0</v>
      </c>
    </row>
    <row r="87" spans="3:15" x14ac:dyDescent="0.35">
      <c r="C87" s="22"/>
      <c r="D87" s="22" t="s">
        <v>30</v>
      </c>
      <c r="E87" s="22">
        <v>0</v>
      </c>
      <c r="F87" s="22">
        <v>50000</v>
      </c>
      <c r="G87" s="22">
        <v>200000</v>
      </c>
      <c r="H87" s="22">
        <v>1350000</v>
      </c>
      <c r="I87" s="22">
        <v>0</v>
      </c>
      <c r="J87" s="22">
        <v>0</v>
      </c>
      <c r="K87" s="22">
        <v>0</v>
      </c>
      <c r="L87" s="22">
        <v>0</v>
      </c>
      <c r="M87" s="22">
        <v>0</v>
      </c>
      <c r="N87" s="22">
        <v>0</v>
      </c>
      <c r="O87" s="22">
        <v>0</v>
      </c>
    </row>
    <row r="88" spans="3:15" x14ac:dyDescent="0.35">
      <c r="C88" s="22"/>
      <c r="D88" s="22" t="s">
        <v>31</v>
      </c>
      <c r="E88" s="22">
        <v>0</v>
      </c>
      <c r="F88" s="22">
        <v>100000</v>
      </c>
      <c r="G88" s="22">
        <f>1750000-S66-S67</f>
        <v>1150000</v>
      </c>
      <c r="H88" s="22">
        <v>0</v>
      </c>
      <c r="I88" s="22">
        <v>0</v>
      </c>
      <c r="J88" s="22">
        <v>0</v>
      </c>
      <c r="K88" s="22">
        <v>0</v>
      </c>
      <c r="L88" s="22">
        <v>0</v>
      </c>
      <c r="M88" s="22">
        <v>0</v>
      </c>
      <c r="N88" s="22">
        <f>(S66+S67)*S68</f>
        <v>900000</v>
      </c>
      <c r="O88" s="22">
        <v>0</v>
      </c>
    </row>
    <row r="89" spans="3:15" x14ac:dyDescent="0.35">
      <c r="C89" s="22"/>
      <c r="D89" s="22" t="s">
        <v>32</v>
      </c>
      <c r="E89" s="22">
        <v>1147121</v>
      </c>
      <c r="F89" s="22">
        <f>750451-S66</f>
        <v>450451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f>S66*S68</f>
        <v>450000</v>
      </c>
      <c r="N89" s="22">
        <v>0</v>
      </c>
      <c r="O89" s="22">
        <v>0</v>
      </c>
    </row>
    <row r="90" spans="3:15" x14ac:dyDescent="0.35">
      <c r="C90" s="22"/>
      <c r="D90" s="22" t="s">
        <v>33</v>
      </c>
      <c r="E90" s="22">
        <v>0</v>
      </c>
      <c r="F90" s="22">
        <v>0</v>
      </c>
      <c r="G90" s="22">
        <v>0</v>
      </c>
      <c r="H90" s="22">
        <v>50000</v>
      </c>
      <c r="I90" s="22">
        <f>1400000-S66</f>
        <v>1100000</v>
      </c>
      <c r="J90" s="22">
        <v>0</v>
      </c>
      <c r="K90" s="22">
        <v>0</v>
      </c>
      <c r="L90" s="22">
        <v>0</v>
      </c>
      <c r="M90" s="22">
        <v>0</v>
      </c>
      <c r="N90" s="22">
        <f>S66*S68</f>
        <v>450000</v>
      </c>
      <c r="O90" s="22">
        <v>0</v>
      </c>
    </row>
    <row r="91" spans="3:15" x14ac:dyDescent="0.35">
      <c r="C91" s="22"/>
      <c r="D91" s="22" t="s">
        <v>34</v>
      </c>
      <c r="E91" s="22">
        <v>0</v>
      </c>
      <c r="F91" s="22">
        <v>750000</v>
      </c>
      <c r="G91" s="22">
        <v>0</v>
      </c>
      <c r="H91" s="22">
        <v>0</v>
      </c>
      <c r="I91" s="22">
        <v>0</v>
      </c>
      <c r="J91" s="22">
        <v>0</v>
      </c>
      <c r="K91" s="22">
        <v>0</v>
      </c>
      <c r="L91" s="22">
        <v>0</v>
      </c>
      <c r="M91" s="22">
        <v>0</v>
      </c>
      <c r="N91" s="22">
        <v>0</v>
      </c>
      <c r="O91" s="22">
        <v>0</v>
      </c>
    </row>
    <row r="92" spans="3:15" x14ac:dyDescent="0.35">
      <c r="C92" s="22"/>
      <c r="D92" s="22" t="s">
        <v>35</v>
      </c>
      <c r="E92" s="22">
        <v>0</v>
      </c>
      <c r="F92" s="22">
        <v>0</v>
      </c>
      <c r="G92" s="22">
        <v>0</v>
      </c>
      <c r="H92" s="22">
        <v>0</v>
      </c>
      <c r="I92" s="22">
        <v>0</v>
      </c>
      <c r="J92" s="22">
        <v>0</v>
      </c>
      <c r="K92" s="22">
        <v>50000</v>
      </c>
      <c r="L92" s="22">
        <v>1550000</v>
      </c>
      <c r="M92" s="22">
        <v>0</v>
      </c>
      <c r="N92" s="22">
        <v>0</v>
      </c>
      <c r="O92" s="22">
        <v>0</v>
      </c>
    </row>
    <row r="93" spans="3:15" x14ac:dyDescent="0.35">
      <c r="C93" s="22"/>
      <c r="D93" s="22" t="s">
        <v>36</v>
      </c>
      <c r="E93" s="22">
        <v>0</v>
      </c>
      <c r="F93" s="22">
        <v>0</v>
      </c>
      <c r="G93" s="22">
        <v>50000</v>
      </c>
      <c r="H93" s="22">
        <f>1100000-S66</f>
        <v>800000</v>
      </c>
      <c r="I93" s="22">
        <v>0</v>
      </c>
      <c r="J93" s="22">
        <v>0</v>
      </c>
      <c r="K93" s="22">
        <v>0</v>
      </c>
      <c r="L93" s="22">
        <v>0</v>
      </c>
      <c r="M93" s="22">
        <v>0</v>
      </c>
      <c r="N93" s="22">
        <f>S66*S68</f>
        <v>450000</v>
      </c>
      <c r="O93" s="22">
        <v>0</v>
      </c>
    </row>
    <row r="94" spans="3:15" x14ac:dyDescent="0.35">
      <c r="C94" s="22"/>
      <c r="D94" s="22" t="s">
        <v>37</v>
      </c>
      <c r="E94" s="22">
        <v>763233</v>
      </c>
      <c r="F94" s="22">
        <f>635657</f>
        <v>635657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/>
      <c r="N94" s="22">
        <v>0</v>
      </c>
      <c r="O94" s="22">
        <v>0</v>
      </c>
    </row>
    <row r="95" spans="3:15" x14ac:dyDescent="0.35">
      <c r="C95" s="22"/>
      <c r="D95" s="22" t="s">
        <v>38</v>
      </c>
      <c r="E95" s="22">
        <v>0</v>
      </c>
      <c r="F95" s="22">
        <v>0</v>
      </c>
      <c r="G95" s="22">
        <v>0</v>
      </c>
      <c r="H95" s="22">
        <v>0</v>
      </c>
      <c r="I95" s="22">
        <v>50000</v>
      </c>
      <c r="J95" s="22">
        <f>1100000-S66</f>
        <v>800000</v>
      </c>
      <c r="K95" s="22">
        <v>0</v>
      </c>
      <c r="L95" s="22">
        <v>0</v>
      </c>
      <c r="M95" s="22">
        <v>0</v>
      </c>
      <c r="N95" s="22">
        <f>S66*S68</f>
        <v>450000</v>
      </c>
      <c r="O95" s="22">
        <v>0</v>
      </c>
    </row>
    <row r="96" spans="3:15" x14ac:dyDescent="0.35">
      <c r="C96" s="22"/>
      <c r="D96" s="22" t="s">
        <v>39</v>
      </c>
      <c r="E96" s="22">
        <v>0</v>
      </c>
      <c r="F96" s="22">
        <v>50000</v>
      </c>
      <c r="G96" s="22">
        <v>550000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0</v>
      </c>
      <c r="N96" s="22">
        <v>0</v>
      </c>
      <c r="O96" s="22">
        <v>0</v>
      </c>
    </row>
    <row r="97" spans="3:15" x14ac:dyDescent="0.35">
      <c r="C97" s="22"/>
      <c r="D97" s="22" t="s">
        <v>40</v>
      </c>
      <c r="E97" s="22">
        <v>0</v>
      </c>
      <c r="F97" s="22">
        <v>0</v>
      </c>
      <c r="G97" s="22">
        <v>50000</v>
      </c>
      <c r="H97" s="22">
        <v>200000</v>
      </c>
      <c r="I97" s="22">
        <v>0</v>
      </c>
      <c r="J97" s="22">
        <v>0</v>
      </c>
      <c r="K97" s="22">
        <v>0</v>
      </c>
      <c r="L97" s="22">
        <v>0</v>
      </c>
      <c r="M97" s="22">
        <v>0</v>
      </c>
      <c r="N97" s="22">
        <v>0</v>
      </c>
      <c r="O97" s="22">
        <v>0</v>
      </c>
    </row>
    <row r="98" spans="3:15" x14ac:dyDescent="0.35">
      <c r="C98" s="22"/>
      <c r="D98" s="22" t="s">
        <v>41</v>
      </c>
      <c r="E98" s="22">
        <v>0</v>
      </c>
      <c r="F98" s="22">
        <v>0</v>
      </c>
      <c r="G98" s="22">
        <v>0</v>
      </c>
      <c r="H98" s="22">
        <v>0</v>
      </c>
      <c r="I98" s="22">
        <v>50000</v>
      </c>
      <c r="J98" s="22">
        <f>1100000-S67</f>
        <v>800000</v>
      </c>
      <c r="K98" s="22">
        <v>0</v>
      </c>
      <c r="L98" s="22">
        <v>0</v>
      </c>
      <c r="M98" s="22">
        <v>0</v>
      </c>
      <c r="N98" s="22">
        <v>0</v>
      </c>
      <c r="O98" s="22">
        <f>S66*S68</f>
        <v>450000</v>
      </c>
    </row>
    <row r="99" spans="3:15" x14ac:dyDescent="0.35"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</row>
    <row r="100" spans="3:15" x14ac:dyDescent="0.35"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</row>
    <row r="101" spans="3:15" x14ac:dyDescent="0.35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</row>
    <row r="102" spans="3:15" x14ac:dyDescent="0.35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</row>
    <row r="103" spans="3:15" x14ac:dyDescent="0.35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</row>
    <row r="105" spans="3:15" x14ac:dyDescent="0.35">
      <c r="C105" s="22"/>
      <c r="D105" s="27" t="s">
        <v>51</v>
      </c>
      <c r="E105" s="27">
        <f>SUM(E64:E103)</f>
        <v>5241397</v>
      </c>
      <c r="F105" s="27">
        <f t="shared" ref="F105:O105" si="1">SUM(F64:F103)</f>
        <v>9834542</v>
      </c>
      <c r="G105" s="27">
        <f t="shared" si="1"/>
        <v>5369719</v>
      </c>
      <c r="H105" s="27">
        <f t="shared" si="1"/>
        <v>2450000</v>
      </c>
      <c r="I105" s="27">
        <f t="shared" si="1"/>
        <v>2000000</v>
      </c>
      <c r="J105" s="27">
        <f t="shared" si="1"/>
        <v>1600000</v>
      </c>
      <c r="K105" s="27">
        <f t="shared" si="1"/>
        <v>100000</v>
      </c>
      <c r="L105" s="27">
        <f t="shared" si="1"/>
        <v>5850000</v>
      </c>
      <c r="M105" s="27">
        <f t="shared" si="1"/>
        <v>6300000</v>
      </c>
      <c r="N105" s="27">
        <f t="shared" si="1"/>
        <v>3850000</v>
      </c>
      <c r="O105" s="27">
        <f t="shared" si="1"/>
        <v>1150000</v>
      </c>
    </row>
    <row r="108" spans="3:15" x14ac:dyDescent="0.35">
      <c r="C108" s="17">
        <v>3</v>
      </c>
      <c r="D108" s="17" t="str" cm="1">
        <f t="array" ref="D108">INDEX(sys.options,C108)</f>
        <v>Option 3 - Complete in AA5</v>
      </c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</row>
    <row r="109" spans="3:15" x14ac:dyDescent="0.35">
      <c r="C109" s="4"/>
      <c r="D109" s="4" t="s">
        <v>42</v>
      </c>
      <c r="E109" s="4" t="s">
        <v>4</v>
      </c>
      <c r="F109" s="4" t="s">
        <v>5</v>
      </c>
      <c r="G109" s="4" t="s">
        <v>6</v>
      </c>
      <c r="H109" s="4" t="s">
        <v>7</v>
      </c>
      <c r="I109" s="4" t="s">
        <v>8</v>
      </c>
      <c r="J109" s="4" t="s">
        <v>9</v>
      </c>
      <c r="K109" s="4" t="s">
        <v>10</v>
      </c>
      <c r="L109" s="4" t="s">
        <v>11</v>
      </c>
      <c r="M109" s="4" t="s">
        <v>12</v>
      </c>
      <c r="N109" s="4" t="s">
        <v>13</v>
      </c>
      <c r="O109" s="4" t="s">
        <v>14</v>
      </c>
    </row>
    <row r="110" spans="3:15" x14ac:dyDescent="0.35">
      <c r="C110" s="22"/>
      <c r="D110" s="22" t="s">
        <v>43</v>
      </c>
      <c r="E110" s="22">
        <v>0</v>
      </c>
      <c r="F110" s="22">
        <v>0</v>
      </c>
      <c r="G110" s="22">
        <v>0</v>
      </c>
      <c r="H110" s="22">
        <v>0</v>
      </c>
      <c r="I110" s="22">
        <v>50000</v>
      </c>
      <c r="J110" s="22">
        <v>450000</v>
      </c>
      <c r="K110" s="22">
        <v>0</v>
      </c>
      <c r="L110" s="22"/>
      <c r="M110" s="22"/>
      <c r="N110" s="22">
        <v>0</v>
      </c>
      <c r="O110" s="22">
        <v>0</v>
      </c>
    </row>
    <row r="111" spans="3:15" x14ac:dyDescent="0.35">
      <c r="C111" s="22"/>
      <c r="D111" s="22" t="s">
        <v>15</v>
      </c>
      <c r="E111" s="22">
        <v>0</v>
      </c>
      <c r="F111" s="22">
        <v>50000</v>
      </c>
      <c r="G111" s="22">
        <v>250000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22">
        <v>0</v>
      </c>
      <c r="N111" s="22">
        <v>0</v>
      </c>
      <c r="O111" s="22">
        <v>0</v>
      </c>
    </row>
    <row r="112" spans="3:15" x14ac:dyDescent="0.35">
      <c r="C112" s="22"/>
      <c r="D112" s="22" t="s">
        <v>44</v>
      </c>
      <c r="E112" s="22">
        <v>0</v>
      </c>
      <c r="F112" s="22">
        <v>0</v>
      </c>
      <c r="G112" s="22">
        <v>0</v>
      </c>
      <c r="H112" s="22">
        <v>1150000</v>
      </c>
      <c r="I112" s="22">
        <v>0</v>
      </c>
      <c r="J112" s="22">
        <v>0</v>
      </c>
      <c r="K112" s="22">
        <v>0</v>
      </c>
      <c r="L112" s="22"/>
      <c r="M112" s="22">
        <v>0</v>
      </c>
      <c r="N112" s="22">
        <v>0</v>
      </c>
      <c r="O112" s="22">
        <v>0</v>
      </c>
    </row>
    <row r="113" spans="3:15" x14ac:dyDescent="0.35">
      <c r="C113" s="22"/>
      <c r="D113" s="22" t="s">
        <v>16</v>
      </c>
      <c r="E113" s="22">
        <v>0</v>
      </c>
      <c r="F113" s="22">
        <v>340899</v>
      </c>
      <c r="G113" s="22">
        <v>319719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>
        <v>0</v>
      </c>
      <c r="N113" s="22">
        <v>0</v>
      </c>
      <c r="O113" s="22">
        <v>0</v>
      </c>
    </row>
    <row r="114" spans="3:15" x14ac:dyDescent="0.35">
      <c r="C114" s="22"/>
      <c r="D114" s="22" t="s">
        <v>45</v>
      </c>
      <c r="E114" s="22">
        <v>0</v>
      </c>
      <c r="F114" s="22">
        <v>0</v>
      </c>
      <c r="G114" s="22">
        <v>50000</v>
      </c>
      <c r="H114" s="22">
        <v>700000</v>
      </c>
      <c r="I114" s="22"/>
      <c r="J114" s="22">
        <v>0</v>
      </c>
      <c r="K114" s="22">
        <v>0</v>
      </c>
      <c r="L114" s="22">
        <v>0</v>
      </c>
      <c r="M114" s="22">
        <v>0</v>
      </c>
      <c r="N114" s="22"/>
      <c r="O114" s="22"/>
    </row>
    <row r="115" spans="3:15" x14ac:dyDescent="0.35">
      <c r="C115" s="22"/>
      <c r="D115" s="22" t="s">
        <v>17</v>
      </c>
      <c r="E115" s="22">
        <v>0</v>
      </c>
      <c r="F115" s="22">
        <v>1100000</v>
      </c>
      <c r="G115" s="22">
        <v>1050000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</row>
    <row r="116" spans="3:15" x14ac:dyDescent="0.35">
      <c r="C116" s="22"/>
      <c r="D116" s="22" t="s">
        <v>46</v>
      </c>
      <c r="E116" s="22">
        <v>0</v>
      </c>
      <c r="F116" s="22">
        <v>0</v>
      </c>
      <c r="G116" s="22">
        <v>0</v>
      </c>
      <c r="H116" s="22">
        <v>0</v>
      </c>
      <c r="I116" s="22">
        <v>50000</v>
      </c>
      <c r="J116" s="22">
        <v>1100000</v>
      </c>
      <c r="K116" s="22"/>
      <c r="L116" s="22">
        <v>0</v>
      </c>
      <c r="M116" s="22"/>
      <c r="N116" s="22"/>
      <c r="O116" s="22">
        <v>0</v>
      </c>
    </row>
    <row r="117" spans="3:15" x14ac:dyDescent="0.35">
      <c r="C117" s="22"/>
      <c r="D117" s="22" t="s">
        <v>47</v>
      </c>
      <c r="E117" s="22">
        <v>0</v>
      </c>
      <c r="F117" s="22">
        <v>0</v>
      </c>
      <c r="G117" s="22">
        <v>0</v>
      </c>
      <c r="H117" s="22">
        <v>50000</v>
      </c>
      <c r="I117" s="22">
        <v>1400000</v>
      </c>
      <c r="J117" s="22">
        <v>0</v>
      </c>
      <c r="K117" s="22">
        <v>0</v>
      </c>
      <c r="L117" s="22"/>
      <c r="M117" s="22"/>
      <c r="N117" s="22">
        <v>0</v>
      </c>
      <c r="O117" s="22">
        <v>0</v>
      </c>
    </row>
    <row r="118" spans="3:15" x14ac:dyDescent="0.35">
      <c r="C118" s="22"/>
      <c r="D118" s="22" t="s">
        <v>48</v>
      </c>
      <c r="E118" s="22">
        <v>0</v>
      </c>
      <c r="F118" s="22">
        <v>0</v>
      </c>
      <c r="G118" s="22">
        <v>0</v>
      </c>
      <c r="H118" s="22">
        <v>50000</v>
      </c>
      <c r="I118" s="22">
        <v>1550000</v>
      </c>
      <c r="J118" s="22">
        <v>0</v>
      </c>
      <c r="K118" s="22">
        <v>0</v>
      </c>
      <c r="L118" s="22"/>
      <c r="M118" s="22"/>
      <c r="N118" s="22">
        <v>0</v>
      </c>
      <c r="O118" s="22">
        <v>0</v>
      </c>
    </row>
    <row r="119" spans="3:15" x14ac:dyDescent="0.35">
      <c r="C119" s="22"/>
      <c r="D119" s="22" t="s">
        <v>18</v>
      </c>
      <c r="E119" s="22">
        <v>411841</v>
      </c>
      <c r="F119" s="22"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0</v>
      </c>
      <c r="N119" s="22">
        <v>0</v>
      </c>
      <c r="O119" s="22">
        <v>0</v>
      </c>
    </row>
    <row r="120" spans="3:15" x14ac:dyDescent="0.35">
      <c r="C120" s="22"/>
      <c r="D120" s="22" t="s">
        <v>49</v>
      </c>
      <c r="E120" s="22">
        <v>0</v>
      </c>
      <c r="F120" s="22">
        <v>0</v>
      </c>
      <c r="G120" s="22">
        <v>0</v>
      </c>
      <c r="H120" s="22">
        <v>0</v>
      </c>
      <c r="I120" s="22">
        <v>50000</v>
      </c>
      <c r="J120" s="22">
        <v>500000</v>
      </c>
      <c r="K120" s="22">
        <v>0</v>
      </c>
      <c r="L120" s="22"/>
      <c r="M120" s="22"/>
      <c r="N120" s="22">
        <v>0</v>
      </c>
      <c r="O120" s="22">
        <v>0</v>
      </c>
    </row>
    <row r="121" spans="3:15" x14ac:dyDescent="0.35">
      <c r="C121" s="22"/>
      <c r="D121" s="22" t="s">
        <v>50</v>
      </c>
      <c r="E121" s="22">
        <v>0</v>
      </c>
      <c r="F121" s="22">
        <v>0</v>
      </c>
      <c r="G121" s="22">
        <v>0</v>
      </c>
      <c r="H121" s="22">
        <v>50000</v>
      </c>
      <c r="I121" s="22">
        <v>1000000</v>
      </c>
      <c r="J121" s="22"/>
      <c r="K121" s="22">
        <v>0</v>
      </c>
      <c r="L121" s="22"/>
      <c r="M121" s="22"/>
      <c r="N121" s="22">
        <v>0</v>
      </c>
      <c r="O121" s="22">
        <v>0</v>
      </c>
    </row>
    <row r="122" spans="3:15" x14ac:dyDescent="0.35">
      <c r="C122" s="22"/>
      <c r="D122" s="22" t="s">
        <v>19</v>
      </c>
      <c r="E122" s="22">
        <v>433239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0</v>
      </c>
    </row>
    <row r="123" spans="3:15" x14ac:dyDescent="0.35">
      <c r="C123" s="22"/>
      <c r="D123" s="22" t="s">
        <v>20</v>
      </c>
      <c r="E123" s="22">
        <v>526937</v>
      </c>
      <c r="F123" s="22">
        <v>382513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22">
        <v>0</v>
      </c>
    </row>
    <row r="124" spans="3:15" x14ac:dyDescent="0.35">
      <c r="C124" s="22"/>
      <c r="D124" s="22" t="s">
        <v>21</v>
      </c>
      <c r="E124" s="22">
        <v>200000</v>
      </c>
      <c r="F124" s="22">
        <v>800000</v>
      </c>
      <c r="G124" s="22">
        <v>1500000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</row>
    <row r="125" spans="3:15" x14ac:dyDescent="0.35">
      <c r="C125" s="22"/>
      <c r="D125" s="22" t="s">
        <v>22</v>
      </c>
      <c r="E125" s="22">
        <v>195000</v>
      </c>
      <c r="F125" s="22">
        <v>555000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>
        <v>0</v>
      </c>
      <c r="N125" s="22">
        <v>0</v>
      </c>
      <c r="O125" s="22">
        <v>0</v>
      </c>
    </row>
    <row r="126" spans="3:15" x14ac:dyDescent="0.35">
      <c r="C126" s="22"/>
      <c r="D126" s="22" t="s">
        <v>23</v>
      </c>
      <c r="E126" s="22">
        <v>60000</v>
      </c>
      <c r="F126" s="22">
        <v>0</v>
      </c>
      <c r="G126" s="22">
        <v>1750000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0</v>
      </c>
      <c r="N126" s="22">
        <v>0</v>
      </c>
      <c r="O126" s="22">
        <v>0</v>
      </c>
    </row>
    <row r="127" spans="3:15" x14ac:dyDescent="0.35">
      <c r="C127" s="22"/>
      <c r="D127" s="22" t="s">
        <v>24</v>
      </c>
      <c r="E127" s="22">
        <v>0</v>
      </c>
      <c r="F127" s="22">
        <v>0</v>
      </c>
      <c r="G127" s="22">
        <v>0</v>
      </c>
      <c r="H127" s="22">
        <v>0</v>
      </c>
      <c r="I127" s="22">
        <v>50000</v>
      </c>
      <c r="J127" s="22">
        <v>200000</v>
      </c>
      <c r="K127" s="22"/>
      <c r="L127" s="22"/>
      <c r="M127" s="22">
        <v>0</v>
      </c>
      <c r="N127" s="22">
        <v>0</v>
      </c>
      <c r="O127" s="22">
        <v>0</v>
      </c>
    </row>
    <row r="128" spans="3:15" x14ac:dyDescent="0.35">
      <c r="C128" s="22"/>
      <c r="D128" s="22" t="s">
        <v>25</v>
      </c>
      <c r="E128" s="22">
        <v>195000</v>
      </c>
      <c r="F128" s="22">
        <v>1405000</v>
      </c>
      <c r="G128" s="22">
        <v>0</v>
      </c>
      <c r="H128" s="22">
        <v>0</v>
      </c>
      <c r="I128" s="22">
        <v>0</v>
      </c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0</v>
      </c>
    </row>
    <row r="129" spans="3:15" x14ac:dyDescent="0.35">
      <c r="C129" s="22"/>
      <c r="D129" s="22" t="s">
        <v>26</v>
      </c>
      <c r="E129" s="22">
        <v>567000</v>
      </c>
      <c r="F129" s="22">
        <v>1100000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  <c r="O129" s="22">
        <v>0</v>
      </c>
    </row>
    <row r="130" spans="3:15" x14ac:dyDescent="0.35">
      <c r="C130" s="22"/>
      <c r="D130" s="22" t="s">
        <v>27</v>
      </c>
      <c r="E130" s="22">
        <v>742026</v>
      </c>
      <c r="F130" s="22">
        <v>1450655</v>
      </c>
      <c r="G130" s="22">
        <v>0</v>
      </c>
      <c r="H130" s="22">
        <v>0</v>
      </c>
      <c r="I130" s="22">
        <v>0</v>
      </c>
      <c r="J130" s="22">
        <v>0</v>
      </c>
      <c r="K130" s="22">
        <v>0</v>
      </c>
      <c r="L130" s="22">
        <v>0</v>
      </c>
      <c r="M130" s="22">
        <v>0</v>
      </c>
      <c r="N130" s="22">
        <v>0</v>
      </c>
      <c r="O130" s="22">
        <v>0</v>
      </c>
    </row>
    <row r="131" spans="3:15" x14ac:dyDescent="0.35">
      <c r="C131" s="22"/>
      <c r="D131" s="22" t="s">
        <v>28</v>
      </c>
      <c r="E131" s="22">
        <v>0</v>
      </c>
      <c r="F131" s="22">
        <v>1514367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0</v>
      </c>
      <c r="N131" s="22">
        <v>0</v>
      </c>
      <c r="O131" s="22">
        <v>0</v>
      </c>
    </row>
    <row r="132" spans="3:15" x14ac:dyDescent="0.35">
      <c r="C132" s="22"/>
      <c r="D132" s="22" t="s">
        <v>29</v>
      </c>
      <c r="E132" s="22">
        <v>0</v>
      </c>
      <c r="F132" s="22">
        <v>0</v>
      </c>
      <c r="G132" s="22">
        <v>0</v>
      </c>
      <c r="H132" s="22">
        <v>50000</v>
      </c>
      <c r="I132" s="22">
        <v>1100000</v>
      </c>
      <c r="J132" s="22">
        <v>0</v>
      </c>
      <c r="K132" s="22">
        <v>0</v>
      </c>
      <c r="L132" s="22">
        <v>0</v>
      </c>
      <c r="M132" s="22">
        <v>0</v>
      </c>
      <c r="N132" s="22">
        <v>0</v>
      </c>
      <c r="O132" s="22">
        <v>0</v>
      </c>
    </row>
    <row r="133" spans="3:15" x14ac:dyDescent="0.35">
      <c r="C133" s="22"/>
      <c r="D133" s="22" t="s">
        <v>30</v>
      </c>
      <c r="E133" s="22">
        <v>0</v>
      </c>
      <c r="F133" s="22">
        <v>50000</v>
      </c>
      <c r="G133" s="22">
        <v>200000</v>
      </c>
      <c r="H133" s="22">
        <v>1350000</v>
      </c>
      <c r="I133" s="22">
        <v>0</v>
      </c>
      <c r="J133" s="22">
        <v>0</v>
      </c>
      <c r="K133" s="22">
        <v>0</v>
      </c>
      <c r="L133" s="22">
        <v>0</v>
      </c>
      <c r="M133" s="22">
        <v>0</v>
      </c>
      <c r="N133" s="22">
        <v>0</v>
      </c>
      <c r="O133" s="22">
        <v>0</v>
      </c>
    </row>
    <row r="134" spans="3:15" x14ac:dyDescent="0.35">
      <c r="C134" s="22"/>
      <c r="D134" s="22" t="s">
        <v>31</v>
      </c>
      <c r="E134" s="22">
        <v>0</v>
      </c>
      <c r="F134" s="22">
        <v>100000</v>
      </c>
      <c r="G134" s="22">
        <v>1750000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  <c r="O134" s="22">
        <v>0</v>
      </c>
    </row>
    <row r="135" spans="3:15" x14ac:dyDescent="0.35">
      <c r="C135" s="22"/>
      <c r="D135" s="22" t="s">
        <v>32</v>
      </c>
      <c r="E135" s="22">
        <v>1147121</v>
      </c>
      <c r="F135" s="22">
        <v>750451</v>
      </c>
      <c r="G135" s="22">
        <v>0</v>
      </c>
      <c r="H135" s="22">
        <v>0</v>
      </c>
      <c r="I135" s="22">
        <v>0</v>
      </c>
      <c r="J135" s="22">
        <v>0</v>
      </c>
      <c r="K135" s="22">
        <v>0</v>
      </c>
      <c r="L135" s="22">
        <v>0</v>
      </c>
      <c r="M135" s="22">
        <v>0</v>
      </c>
      <c r="N135" s="22">
        <v>0</v>
      </c>
      <c r="O135" s="22">
        <v>0</v>
      </c>
    </row>
    <row r="136" spans="3:15" x14ac:dyDescent="0.35">
      <c r="C136" s="22"/>
      <c r="D136" s="22" t="s">
        <v>33</v>
      </c>
      <c r="E136" s="22">
        <v>0</v>
      </c>
      <c r="F136" s="22">
        <v>0</v>
      </c>
      <c r="G136" s="22">
        <v>0</v>
      </c>
      <c r="H136" s="22">
        <v>50000</v>
      </c>
      <c r="I136" s="22">
        <v>1400000</v>
      </c>
      <c r="J136" s="22">
        <v>0</v>
      </c>
      <c r="K136" s="22">
        <v>0</v>
      </c>
      <c r="L136" s="22">
        <v>0</v>
      </c>
      <c r="M136" s="22">
        <v>0</v>
      </c>
      <c r="N136" s="22">
        <v>0</v>
      </c>
      <c r="O136" s="22">
        <v>0</v>
      </c>
    </row>
    <row r="137" spans="3:15" x14ac:dyDescent="0.35">
      <c r="C137" s="22"/>
      <c r="D137" s="22" t="s">
        <v>34</v>
      </c>
      <c r="E137" s="22">
        <v>0</v>
      </c>
      <c r="F137" s="22">
        <v>750000</v>
      </c>
      <c r="G137" s="22">
        <v>0</v>
      </c>
      <c r="H137" s="22">
        <v>0</v>
      </c>
      <c r="I137" s="22">
        <v>0</v>
      </c>
      <c r="J137" s="22">
        <v>0</v>
      </c>
      <c r="K137" s="22">
        <v>0</v>
      </c>
      <c r="L137" s="22">
        <v>0</v>
      </c>
      <c r="M137" s="22">
        <v>0</v>
      </c>
      <c r="N137" s="22">
        <v>0</v>
      </c>
      <c r="O137" s="22">
        <v>0</v>
      </c>
    </row>
    <row r="138" spans="3:15" x14ac:dyDescent="0.35">
      <c r="C138" s="22"/>
      <c r="D138" s="22" t="s">
        <v>35</v>
      </c>
      <c r="E138" s="22">
        <v>0</v>
      </c>
      <c r="F138" s="22">
        <v>0</v>
      </c>
      <c r="G138" s="22">
        <v>0</v>
      </c>
      <c r="H138" s="22">
        <v>0</v>
      </c>
      <c r="I138" s="22">
        <v>50000</v>
      </c>
      <c r="J138" s="22">
        <v>1550000</v>
      </c>
      <c r="K138" s="22"/>
      <c r="L138" s="22"/>
      <c r="M138" s="22">
        <v>0</v>
      </c>
      <c r="N138" s="22">
        <v>0</v>
      </c>
      <c r="O138" s="22">
        <v>0</v>
      </c>
    </row>
    <row r="139" spans="3:15" x14ac:dyDescent="0.35">
      <c r="C139" s="22"/>
      <c r="D139" s="22" t="s">
        <v>36</v>
      </c>
      <c r="E139" s="22">
        <v>0</v>
      </c>
      <c r="F139" s="22">
        <v>0</v>
      </c>
      <c r="G139" s="22">
        <v>50000</v>
      </c>
      <c r="H139" s="22">
        <v>1100000</v>
      </c>
      <c r="I139" s="22">
        <v>0</v>
      </c>
      <c r="J139" s="22">
        <v>0</v>
      </c>
      <c r="K139" s="22">
        <v>0</v>
      </c>
      <c r="L139" s="22">
        <v>0</v>
      </c>
      <c r="M139" s="22">
        <v>0</v>
      </c>
      <c r="N139" s="22">
        <v>0</v>
      </c>
      <c r="O139" s="22">
        <v>0</v>
      </c>
    </row>
    <row r="140" spans="3:15" x14ac:dyDescent="0.35">
      <c r="C140" s="22"/>
      <c r="D140" s="22" t="s">
        <v>37</v>
      </c>
      <c r="E140" s="22">
        <v>763233</v>
      </c>
      <c r="F140" s="22">
        <v>635657</v>
      </c>
      <c r="G140" s="22">
        <v>0</v>
      </c>
      <c r="H140" s="22">
        <v>0</v>
      </c>
      <c r="I140" s="22">
        <v>0</v>
      </c>
      <c r="J140" s="22">
        <v>0</v>
      </c>
      <c r="K140" s="22">
        <v>0</v>
      </c>
      <c r="L140" s="22">
        <v>0</v>
      </c>
      <c r="M140" s="22">
        <v>0</v>
      </c>
      <c r="N140" s="22">
        <v>0</v>
      </c>
      <c r="O140" s="22">
        <v>0</v>
      </c>
    </row>
    <row r="141" spans="3:15" x14ac:dyDescent="0.35">
      <c r="C141" s="22"/>
      <c r="D141" s="22" t="s">
        <v>38</v>
      </c>
      <c r="E141" s="22">
        <v>0</v>
      </c>
      <c r="F141" s="22">
        <v>0</v>
      </c>
      <c r="G141" s="22">
        <v>0</v>
      </c>
      <c r="H141" s="22">
        <v>0</v>
      </c>
      <c r="I141" s="22">
        <v>50000</v>
      </c>
      <c r="J141" s="22">
        <v>1100000</v>
      </c>
      <c r="K141" s="22">
        <v>0</v>
      </c>
      <c r="L141" s="22">
        <v>0</v>
      </c>
      <c r="M141" s="22">
        <v>0</v>
      </c>
      <c r="N141" s="22">
        <v>0</v>
      </c>
      <c r="O141" s="22">
        <v>0</v>
      </c>
    </row>
    <row r="142" spans="3:15" x14ac:dyDescent="0.35">
      <c r="C142" s="22"/>
      <c r="D142" s="22" t="s">
        <v>39</v>
      </c>
      <c r="E142" s="22">
        <v>0</v>
      </c>
      <c r="F142" s="22">
        <v>50000</v>
      </c>
      <c r="G142" s="22">
        <v>550000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>
        <v>0</v>
      </c>
      <c r="N142" s="22">
        <v>0</v>
      </c>
      <c r="O142" s="22">
        <v>0</v>
      </c>
    </row>
    <row r="143" spans="3:15" x14ac:dyDescent="0.35">
      <c r="C143" s="22"/>
      <c r="D143" s="22" t="s">
        <v>40</v>
      </c>
      <c r="E143" s="22">
        <v>0</v>
      </c>
      <c r="F143" s="22">
        <v>0</v>
      </c>
      <c r="G143" s="22">
        <v>50000</v>
      </c>
      <c r="H143" s="22">
        <v>200000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22">
        <v>0</v>
      </c>
      <c r="O143" s="22">
        <v>0</v>
      </c>
    </row>
    <row r="144" spans="3:15" x14ac:dyDescent="0.35">
      <c r="C144" s="22"/>
      <c r="D144" s="22" t="s">
        <v>41</v>
      </c>
      <c r="E144" s="22">
        <v>0</v>
      </c>
      <c r="F144" s="22">
        <v>0</v>
      </c>
      <c r="G144" s="22">
        <v>0</v>
      </c>
      <c r="H144" s="22">
        <v>0</v>
      </c>
      <c r="I144" s="22">
        <v>50000</v>
      </c>
      <c r="J144" s="22">
        <v>1100000</v>
      </c>
      <c r="K144" s="22">
        <v>0</v>
      </c>
      <c r="L144" s="22">
        <v>0</v>
      </c>
      <c r="M144" s="22">
        <v>0</v>
      </c>
      <c r="N144" s="22">
        <v>0</v>
      </c>
      <c r="O144" s="22">
        <v>0</v>
      </c>
    </row>
    <row r="145" spans="3:15" x14ac:dyDescent="0.35"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</row>
    <row r="146" spans="3:15" x14ac:dyDescent="0.35"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</row>
    <row r="147" spans="3:15" x14ac:dyDescent="0.35"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</row>
    <row r="148" spans="3:15" x14ac:dyDescent="0.35"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</row>
    <row r="149" spans="3:15" x14ac:dyDescent="0.35"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</row>
    <row r="151" spans="3:15" x14ac:dyDescent="0.35">
      <c r="D151" s="27" t="s">
        <v>51</v>
      </c>
      <c r="E151" s="27">
        <f>SUM(E110:E149)</f>
        <v>5241397</v>
      </c>
      <c r="F151" s="27">
        <f t="shared" ref="F151:O151" si="2">SUM(F110:F149)</f>
        <v>11034542</v>
      </c>
      <c r="G151" s="27">
        <f t="shared" si="2"/>
        <v>7519719</v>
      </c>
      <c r="H151" s="27">
        <f>SUM(H110:H149)</f>
        <v>4750000</v>
      </c>
      <c r="I151" s="27">
        <f>SUM(I110:I149)</f>
        <v>6800000</v>
      </c>
      <c r="J151" s="27">
        <f>SUM(J110:J149)</f>
        <v>6000000</v>
      </c>
      <c r="K151" s="27">
        <f t="shared" si="2"/>
        <v>0</v>
      </c>
      <c r="L151" s="27">
        <f t="shared" si="2"/>
        <v>0</v>
      </c>
      <c r="M151" s="27">
        <f t="shared" si="2"/>
        <v>0</v>
      </c>
      <c r="N151" s="27">
        <f t="shared" si="2"/>
        <v>0</v>
      </c>
      <c r="O151" s="27">
        <f t="shared" si="2"/>
        <v>0</v>
      </c>
    </row>
    <row r="154" spans="3:15" x14ac:dyDescent="0.35">
      <c r="C154" s="17">
        <v>4</v>
      </c>
      <c r="D154" s="17" t="str" cm="1">
        <f t="array" ref="D154">INDEX(sys.options,C154)</f>
        <v>Option 4 - Complete over AA5 and AA6</v>
      </c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</row>
    <row r="155" spans="3:15" x14ac:dyDescent="0.35">
      <c r="C155" s="4"/>
      <c r="D155" s="4" t="s">
        <v>42</v>
      </c>
      <c r="E155" s="4" t="s">
        <v>4</v>
      </c>
      <c r="F155" s="4" t="s">
        <v>5</v>
      </c>
      <c r="G155" s="4" t="s">
        <v>6</v>
      </c>
      <c r="H155" s="4" t="s">
        <v>7</v>
      </c>
      <c r="I155" s="4" t="s">
        <v>8</v>
      </c>
      <c r="J155" s="4" t="s">
        <v>9</v>
      </c>
      <c r="K155" s="4" t="s">
        <v>10</v>
      </c>
      <c r="L155" s="4" t="s">
        <v>11</v>
      </c>
      <c r="M155" s="4" t="s">
        <v>12</v>
      </c>
      <c r="N155" s="4" t="s">
        <v>13</v>
      </c>
      <c r="O155" s="4" t="s">
        <v>14</v>
      </c>
    </row>
    <row r="156" spans="3:15" x14ac:dyDescent="0.35">
      <c r="C156" s="22"/>
      <c r="D156" s="22" t="s">
        <v>43</v>
      </c>
      <c r="E156" s="22">
        <v>0</v>
      </c>
      <c r="F156" s="22"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v>0</v>
      </c>
      <c r="L156" s="22">
        <v>50000</v>
      </c>
      <c r="M156" s="22">
        <v>450000</v>
      </c>
      <c r="N156" s="22">
        <v>0</v>
      </c>
      <c r="O156" s="22">
        <v>0</v>
      </c>
    </row>
    <row r="157" spans="3:15" x14ac:dyDescent="0.35">
      <c r="C157" s="22"/>
      <c r="D157" s="22" t="s">
        <v>15</v>
      </c>
      <c r="E157" s="22">
        <v>0</v>
      </c>
      <c r="F157" s="22">
        <v>50000</v>
      </c>
      <c r="G157" s="22">
        <v>250000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0</v>
      </c>
      <c r="N157" s="22">
        <v>0</v>
      </c>
      <c r="O157" s="22">
        <v>0</v>
      </c>
    </row>
    <row r="158" spans="3:15" x14ac:dyDescent="0.35">
      <c r="C158" s="22"/>
      <c r="D158" s="22" t="s">
        <v>44</v>
      </c>
      <c r="E158" s="22">
        <v>0</v>
      </c>
      <c r="F158" s="22"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v>0</v>
      </c>
      <c r="L158" s="22">
        <v>1150000</v>
      </c>
      <c r="M158" s="22">
        <v>0</v>
      </c>
      <c r="N158" s="22">
        <v>0</v>
      </c>
      <c r="O158" s="22">
        <v>0</v>
      </c>
    </row>
    <row r="159" spans="3:15" x14ac:dyDescent="0.35">
      <c r="C159" s="22"/>
      <c r="D159" s="22" t="s">
        <v>16</v>
      </c>
      <c r="E159" s="22">
        <v>0</v>
      </c>
      <c r="F159" s="22">
        <v>340899</v>
      </c>
      <c r="G159" s="22">
        <v>319719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0</v>
      </c>
      <c r="N159" s="22">
        <v>0</v>
      </c>
      <c r="O159" s="22">
        <v>0</v>
      </c>
    </row>
    <row r="160" spans="3:15" x14ac:dyDescent="0.35">
      <c r="C160" s="22"/>
      <c r="D160" s="22" t="s">
        <v>45</v>
      </c>
      <c r="E160" s="22">
        <v>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0</v>
      </c>
      <c r="N160" s="22">
        <v>50000</v>
      </c>
      <c r="O160" s="22">
        <v>700000</v>
      </c>
    </row>
    <row r="161" spans="3:15" x14ac:dyDescent="0.35">
      <c r="C161" s="22"/>
      <c r="D161" s="22" t="s">
        <v>17</v>
      </c>
      <c r="E161" s="22">
        <v>0</v>
      </c>
      <c r="F161" s="22">
        <v>1100000</v>
      </c>
      <c r="G161" s="22">
        <v>1050000</v>
      </c>
      <c r="H161" s="22">
        <v>0</v>
      </c>
      <c r="I161" s="22">
        <v>0</v>
      </c>
      <c r="J161" s="22">
        <v>0</v>
      </c>
      <c r="K161" s="22">
        <v>0</v>
      </c>
      <c r="L161" s="22">
        <v>0</v>
      </c>
      <c r="M161" s="22">
        <v>0</v>
      </c>
      <c r="N161" s="22">
        <v>0</v>
      </c>
      <c r="O161" s="22">
        <v>0</v>
      </c>
    </row>
    <row r="162" spans="3:15" x14ac:dyDescent="0.35">
      <c r="C162" s="22"/>
      <c r="D162" s="22" t="s">
        <v>46</v>
      </c>
      <c r="E162" s="22">
        <v>0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50000</v>
      </c>
      <c r="N162" s="22">
        <v>1100000</v>
      </c>
      <c r="O162" s="22">
        <v>0</v>
      </c>
    </row>
    <row r="163" spans="3:15" x14ac:dyDescent="0.35">
      <c r="C163" s="22"/>
      <c r="D163" s="22" t="s">
        <v>47</v>
      </c>
      <c r="E163" s="22">
        <v>0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50000</v>
      </c>
      <c r="M163" s="22">
        <v>1400000</v>
      </c>
      <c r="N163" s="22">
        <v>0</v>
      </c>
      <c r="O163" s="22">
        <v>0</v>
      </c>
    </row>
    <row r="164" spans="3:15" x14ac:dyDescent="0.35">
      <c r="C164" s="22"/>
      <c r="D164" s="22" t="s">
        <v>48</v>
      </c>
      <c r="E164" s="22">
        <v>0</v>
      </c>
      <c r="F164" s="22"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v>0</v>
      </c>
      <c r="L164" s="22">
        <v>50000</v>
      </c>
      <c r="M164" s="22">
        <v>1550000</v>
      </c>
      <c r="N164" s="22">
        <v>0</v>
      </c>
      <c r="O164" s="22">
        <v>0</v>
      </c>
    </row>
    <row r="165" spans="3:15" x14ac:dyDescent="0.35">
      <c r="C165" s="22"/>
      <c r="D165" s="22" t="s">
        <v>18</v>
      </c>
      <c r="E165" s="22">
        <v>411841</v>
      </c>
      <c r="F165" s="22"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v>0</v>
      </c>
      <c r="L165" s="22">
        <v>0</v>
      </c>
      <c r="M165" s="22">
        <v>0</v>
      </c>
      <c r="N165" s="22">
        <v>0</v>
      </c>
      <c r="O165" s="22">
        <v>0</v>
      </c>
    </row>
    <row r="166" spans="3:15" x14ac:dyDescent="0.35">
      <c r="C166" s="22"/>
      <c r="D166" s="22" t="s">
        <v>49</v>
      </c>
      <c r="E166" s="22">
        <v>0</v>
      </c>
      <c r="F166" s="22"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50000</v>
      </c>
      <c r="M166" s="22">
        <v>500000</v>
      </c>
      <c r="N166" s="22">
        <v>0</v>
      </c>
      <c r="O166" s="22">
        <v>0</v>
      </c>
    </row>
    <row r="167" spans="3:15" x14ac:dyDescent="0.35">
      <c r="C167" s="22"/>
      <c r="D167" s="22" t="s">
        <v>50</v>
      </c>
      <c r="E167" s="22">
        <v>0</v>
      </c>
      <c r="F167" s="22"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v>0</v>
      </c>
      <c r="L167" s="22">
        <v>50000</v>
      </c>
      <c r="M167" s="22">
        <v>1000000</v>
      </c>
      <c r="N167" s="22">
        <v>0</v>
      </c>
      <c r="O167" s="22">
        <v>0</v>
      </c>
    </row>
    <row r="168" spans="3:15" x14ac:dyDescent="0.35">
      <c r="C168" s="22"/>
      <c r="D168" s="22" t="s">
        <v>19</v>
      </c>
      <c r="E168" s="22">
        <v>433239</v>
      </c>
      <c r="F168" s="22"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v>0</v>
      </c>
      <c r="L168" s="22">
        <v>0</v>
      </c>
      <c r="M168" s="22">
        <v>0</v>
      </c>
      <c r="N168" s="22">
        <v>0</v>
      </c>
      <c r="O168" s="22">
        <v>0</v>
      </c>
    </row>
    <row r="169" spans="3:15" x14ac:dyDescent="0.35">
      <c r="C169" s="22"/>
      <c r="D169" s="22" t="s">
        <v>20</v>
      </c>
      <c r="E169" s="22">
        <v>526937</v>
      </c>
      <c r="F169" s="22">
        <v>382513</v>
      </c>
      <c r="G169" s="22">
        <v>0</v>
      </c>
      <c r="H169" s="22">
        <v>0</v>
      </c>
      <c r="I169" s="22">
        <v>0</v>
      </c>
      <c r="J169" s="22">
        <v>0</v>
      </c>
      <c r="K169" s="22">
        <v>0</v>
      </c>
      <c r="L169" s="22">
        <v>0</v>
      </c>
      <c r="M169" s="22">
        <v>0</v>
      </c>
      <c r="N169" s="22">
        <v>0</v>
      </c>
      <c r="O169" s="22">
        <v>0</v>
      </c>
    </row>
    <row r="170" spans="3:15" x14ac:dyDescent="0.35">
      <c r="C170" s="22"/>
      <c r="D170" s="22" t="s">
        <v>21</v>
      </c>
      <c r="E170" s="22">
        <v>200000</v>
      </c>
      <c r="F170" s="22">
        <v>800000</v>
      </c>
      <c r="G170" s="22">
        <v>1500000</v>
      </c>
      <c r="H170" s="22">
        <v>0</v>
      </c>
      <c r="I170" s="22">
        <v>0</v>
      </c>
      <c r="J170" s="22">
        <v>0</v>
      </c>
      <c r="K170" s="22">
        <v>0</v>
      </c>
      <c r="L170" s="22">
        <v>0</v>
      </c>
      <c r="M170" s="22">
        <v>0</v>
      </c>
      <c r="N170" s="22">
        <v>0</v>
      </c>
      <c r="O170" s="22">
        <v>0</v>
      </c>
    </row>
    <row r="171" spans="3:15" x14ac:dyDescent="0.35">
      <c r="C171" s="22"/>
      <c r="D171" s="22" t="s">
        <v>22</v>
      </c>
      <c r="E171" s="22">
        <v>195000</v>
      </c>
      <c r="F171" s="22">
        <v>555000</v>
      </c>
      <c r="G171" s="22">
        <v>0</v>
      </c>
      <c r="H171" s="22">
        <v>0</v>
      </c>
      <c r="I171" s="22">
        <v>0</v>
      </c>
      <c r="J171" s="22">
        <v>0</v>
      </c>
      <c r="K171" s="22">
        <v>0</v>
      </c>
      <c r="L171" s="22">
        <v>0</v>
      </c>
      <c r="M171" s="22">
        <v>0</v>
      </c>
      <c r="N171" s="22">
        <v>0</v>
      </c>
      <c r="O171" s="22">
        <v>0</v>
      </c>
    </row>
    <row r="172" spans="3:15" x14ac:dyDescent="0.35">
      <c r="C172" s="22"/>
      <c r="D172" s="22" t="s">
        <v>23</v>
      </c>
      <c r="E172" s="22">
        <v>60000</v>
      </c>
      <c r="F172" s="22">
        <v>0</v>
      </c>
      <c r="G172" s="22">
        <v>1750000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0</v>
      </c>
      <c r="N172" s="22">
        <v>0</v>
      </c>
      <c r="O172" s="22">
        <v>0</v>
      </c>
    </row>
    <row r="173" spans="3:15" x14ac:dyDescent="0.35">
      <c r="C173" s="22"/>
      <c r="D173" s="22" t="s">
        <v>24</v>
      </c>
      <c r="E173" s="22">
        <v>0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50000</v>
      </c>
      <c r="L173" s="22">
        <v>200000</v>
      </c>
      <c r="M173" s="22">
        <v>0</v>
      </c>
      <c r="N173" s="22">
        <v>0</v>
      </c>
      <c r="O173" s="22">
        <v>0</v>
      </c>
    </row>
    <row r="174" spans="3:15" x14ac:dyDescent="0.35">
      <c r="C174" s="22"/>
      <c r="D174" s="22" t="s">
        <v>25</v>
      </c>
      <c r="E174" s="22">
        <v>195000</v>
      </c>
      <c r="F174" s="22">
        <v>1405000</v>
      </c>
      <c r="G174" s="22">
        <v>0</v>
      </c>
      <c r="H174" s="22">
        <v>0</v>
      </c>
      <c r="I174" s="22">
        <v>0</v>
      </c>
      <c r="J174" s="22">
        <v>0</v>
      </c>
      <c r="K174" s="22">
        <v>0</v>
      </c>
      <c r="L174" s="22">
        <v>0</v>
      </c>
      <c r="M174" s="22">
        <v>0</v>
      </c>
      <c r="N174" s="22">
        <v>0</v>
      </c>
      <c r="O174" s="22">
        <v>0</v>
      </c>
    </row>
    <row r="175" spans="3:15" x14ac:dyDescent="0.35">
      <c r="C175" s="22"/>
      <c r="D175" s="22" t="s">
        <v>26</v>
      </c>
      <c r="E175" s="22">
        <v>567000</v>
      </c>
      <c r="F175" s="22">
        <v>1100000</v>
      </c>
      <c r="G175" s="22">
        <v>0</v>
      </c>
      <c r="H175" s="22">
        <v>0</v>
      </c>
      <c r="I175" s="22">
        <v>0</v>
      </c>
      <c r="J175" s="22">
        <v>0</v>
      </c>
      <c r="K175" s="22">
        <v>0</v>
      </c>
      <c r="L175" s="22">
        <v>0</v>
      </c>
      <c r="M175" s="22">
        <v>0</v>
      </c>
      <c r="N175" s="22">
        <v>0</v>
      </c>
      <c r="O175" s="22">
        <v>0</v>
      </c>
    </row>
    <row r="176" spans="3:15" x14ac:dyDescent="0.35">
      <c r="C176" s="22"/>
      <c r="D176" s="22" t="s">
        <v>27</v>
      </c>
      <c r="E176" s="22">
        <v>742026</v>
      </c>
      <c r="F176" s="22">
        <v>1450655</v>
      </c>
      <c r="G176" s="22">
        <v>0</v>
      </c>
      <c r="H176" s="22">
        <v>0</v>
      </c>
      <c r="I176" s="22">
        <v>0</v>
      </c>
      <c r="J176" s="22">
        <v>0</v>
      </c>
      <c r="K176" s="22">
        <v>0</v>
      </c>
      <c r="L176" s="22">
        <v>0</v>
      </c>
      <c r="M176" s="22">
        <v>0</v>
      </c>
      <c r="N176" s="22">
        <v>0</v>
      </c>
      <c r="O176" s="22">
        <v>0</v>
      </c>
    </row>
    <row r="177" spans="3:15" x14ac:dyDescent="0.35">
      <c r="C177" s="22"/>
      <c r="D177" s="22" t="s">
        <v>28</v>
      </c>
      <c r="E177" s="22">
        <v>0</v>
      </c>
      <c r="F177" s="22">
        <v>1514367</v>
      </c>
      <c r="G177" s="22">
        <v>0</v>
      </c>
      <c r="H177" s="22">
        <v>0</v>
      </c>
      <c r="I177" s="22">
        <v>0</v>
      </c>
      <c r="J177" s="22">
        <v>0</v>
      </c>
      <c r="K177" s="22">
        <v>0</v>
      </c>
      <c r="L177" s="22">
        <v>0</v>
      </c>
      <c r="M177" s="22">
        <v>0</v>
      </c>
      <c r="N177" s="22">
        <v>0</v>
      </c>
      <c r="O177" s="22">
        <v>0</v>
      </c>
    </row>
    <row r="178" spans="3:15" x14ac:dyDescent="0.35">
      <c r="C178" s="22"/>
      <c r="D178" s="22" t="s">
        <v>29</v>
      </c>
      <c r="E178" s="22">
        <v>0</v>
      </c>
      <c r="F178" s="22">
        <v>0</v>
      </c>
      <c r="G178" s="22">
        <v>0</v>
      </c>
      <c r="H178" s="22">
        <v>50000</v>
      </c>
      <c r="I178" s="22">
        <v>1100000</v>
      </c>
      <c r="J178" s="22">
        <v>0</v>
      </c>
      <c r="K178" s="22">
        <v>0</v>
      </c>
      <c r="L178" s="22">
        <v>0</v>
      </c>
      <c r="M178" s="22">
        <v>0</v>
      </c>
      <c r="N178" s="22">
        <v>0</v>
      </c>
      <c r="O178" s="22">
        <v>0</v>
      </c>
    </row>
    <row r="179" spans="3:15" x14ac:dyDescent="0.35">
      <c r="C179" s="22"/>
      <c r="D179" s="22" t="s">
        <v>30</v>
      </c>
      <c r="E179" s="22">
        <v>0</v>
      </c>
      <c r="F179" s="22">
        <v>50000</v>
      </c>
      <c r="G179" s="22">
        <v>200000</v>
      </c>
      <c r="H179" s="22">
        <v>1350000</v>
      </c>
      <c r="I179" s="22">
        <v>0</v>
      </c>
      <c r="J179" s="22">
        <v>0</v>
      </c>
      <c r="K179" s="22">
        <v>0</v>
      </c>
      <c r="L179" s="22">
        <v>0</v>
      </c>
      <c r="M179" s="22">
        <v>0</v>
      </c>
      <c r="N179" s="22">
        <v>0</v>
      </c>
      <c r="O179" s="22">
        <v>0</v>
      </c>
    </row>
    <row r="180" spans="3:15" x14ac:dyDescent="0.35">
      <c r="C180" s="22"/>
      <c r="D180" s="22" t="s">
        <v>31</v>
      </c>
      <c r="E180" s="22">
        <v>0</v>
      </c>
      <c r="F180" s="22">
        <v>100000</v>
      </c>
      <c r="G180" s="22">
        <v>1750000</v>
      </c>
      <c r="H180" s="22">
        <v>0</v>
      </c>
      <c r="I180" s="22">
        <v>0</v>
      </c>
      <c r="J180" s="22">
        <v>0</v>
      </c>
      <c r="K180" s="22">
        <v>0</v>
      </c>
      <c r="L180" s="22">
        <v>0</v>
      </c>
      <c r="M180" s="22">
        <v>0</v>
      </c>
      <c r="N180" s="22">
        <v>0</v>
      </c>
      <c r="O180" s="22">
        <v>0</v>
      </c>
    </row>
    <row r="181" spans="3:15" x14ac:dyDescent="0.35">
      <c r="C181" s="22"/>
      <c r="D181" s="22" t="s">
        <v>32</v>
      </c>
      <c r="E181" s="22">
        <v>1147121</v>
      </c>
      <c r="F181" s="22">
        <v>750451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22">
        <v>0</v>
      </c>
      <c r="O181" s="22">
        <v>0</v>
      </c>
    </row>
    <row r="182" spans="3:15" x14ac:dyDescent="0.35">
      <c r="C182" s="22"/>
      <c r="D182" s="22" t="s">
        <v>33</v>
      </c>
      <c r="E182" s="22">
        <v>0</v>
      </c>
      <c r="F182" s="22">
        <v>0</v>
      </c>
      <c r="G182" s="22">
        <v>0</v>
      </c>
      <c r="H182" s="22">
        <v>50000</v>
      </c>
      <c r="I182" s="22">
        <v>1400000</v>
      </c>
      <c r="J182" s="22">
        <v>0</v>
      </c>
      <c r="K182" s="22">
        <v>0</v>
      </c>
      <c r="L182" s="22">
        <v>0</v>
      </c>
      <c r="M182" s="22">
        <v>0</v>
      </c>
      <c r="N182" s="22">
        <v>0</v>
      </c>
      <c r="O182" s="22">
        <v>0</v>
      </c>
    </row>
    <row r="183" spans="3:15" x14ac:dyDescent="0.35">
      <c r="C183" s="22"/>
      <c r="D183" s="22" t="s">
        <v>34</v>
      </c>
      <c r="E183" s="22">
        <v>0</v>
      </c>
      <c r="F183" s="22">
        <v>750000</v>
      </c>
      <c r="G183" s="22">
        <v>0</v>
      </c>
      <c r="H183" s="22">
        <v>0</v>
      </c>
      <c r="I183" s="22">
        <v>0</v>
      </c>
      <c r="J183" s="22">
        <v>0</v>
      </c>
      <c r="K183" s="22">
        <v>0</v>
      </c>
      <c r="L183" s="22">
        <v>0</v>
      </c>
      <c r="M183" s="22">
        <v>0</v>
      </c>
      <c r="N183" s="22">
        <v>0</v>
      </c>
      <c r="O183" s="22">
        <v>0</v>
      </c>
    </row>
    <row r="184" spans="3:15" x14ac:dyDescent="0.35">
      <c r="C184" s="22"/>
      <c r="D184" s="22" t="s">
        <v>35</v>
      </c>
      <c r="E184" s="22">
        <v>0</v>
      </c>
      <c r="F184" s="22"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v>50000</v>
      </c>
      <c r="L184" s="22">
        <v>1550000</v>
      </c>
      <c r="M184" s="22">
        <v>0</v>
      </c>
      <c r="N184" s="22">
        <v>0</v>
      </c>
      <c r="O184" s="22">
        <v>0</v>
      </c>
    </row>
    <row r="185" spans="3:15" x14ac:dyDescent="0.35">
      <c r="C185" s="22"/>
      <c r="D185" s="22" t="s">
        <v>36</v>
      </c>
      <c r="E185" s="22">
        <v>0</v>
      </c>
      <c r="F185" s="22">
        <v>0</v>
      </c>
      <c r="G185" s="22">
        <v>50000</v>
      </c>
      <c r="H185" s="22">
        <v>1100000</v>
      </c>
      <c r="I185" s="22">
        <v>0</v>
      </c>
      <c r="J185" s="22">
        <v>0</v>
      </c>
      <c r="K185" s="22">
        <v>0</v>
      </c>
      <c r="L185" s="22">
        <v>0</v>
      </c>
      <c r="M185" s="22">
        <v>0</v>
      </c>
      <c r="N185" s="22">
        <v>0</v>
      </c>
      <c r="O185" s="22">
        <v>0</v>
      </c>
    </row>
    <row r="186" spans="3:15" x14ac:dyDescent="0.35">
      <c r="C186" s="22"/>
      <c r="D186" s="22" t="s">
        <v>37</v>
      </c>
      <c r="E186" s="22">
        <v>763233</v>
      </c>
      <c r="F186" s="22">
        <v>635657</v>
      </c>
      <c r="G186" s="22">
        <v>0</v>
      </c>
      <c r="H186" s="22">
        <v>0</v>
      </c>
      <c r="I186" s="22">
        <v>0</v>
      </c>
      <c r="J186" s="22">
        <v>0</v>
      </c>
      <c r="K186" s="22">
        <v>0</v>
      </c>
      <c r="L186" s="22">
        <v>0</v>
      </c>
      <c r="M186" s="22">
        <v>0</v>
      </c>
      <c r="N186" s="22">
        <v>0</v>
      </c>
      <c r="O186" s="22">
        <v>0</v>
      </c>
    </row>
    <row r="187" spans="3:15" x14ac:dyDescent="0.35">
      <c r="C187" s="22"/>
      <c r="D187" s="22" t="s">
        <v>38</v>
      </c>
      <c r="E187" s="22">
        <v>0</v>
      </c>
      <c r="F187" s="22">
        <v>0</v>
      </c>
      <c r="G187" s="22">
        <v>0</v>
      </c>
      <c r="H187" s="22">
        <v>0</v>
      </c>
      <c r="I187" s="22">
        <v>50000</v>
      </c>
      <c r="J187" s="22">
        <v>1100000</v>
      </c>
      <c r="K187" s="22">
        <v>0</v>
      </c>
      <c r="L187" s="22">
        <v>0</v>
      </c>
      <c r="M187" s="22">
        <v>0</v>
      </c>
      <c r="N187" s="22">
        <v>0</v>
      </c>
      <c r="O187" s="22">
        <v>0</v>
      </c>
    </row>
    <row r="188" spans="3:15" x14ac:dyDescent="0.35">
      <c r="C188" s="22"/>
      <c r="D188" s="22" t="s">
        <v>39</v>
      </c>
      <c r="E188" s="22">
        <v>0</v>
      </c>
      <c r="F188" s="22">
        <v>50000</v>
      </c>
      <c r="G188" s="22">
        <v>550000</v>
      </c>
      <c r="H188" s="22">
        <v>0</v>
      </c>
      <c r="I188" s="22">
        <v>0</v>
      </c>
      <c r="J188" s="22">
        <v>0</v>
      </c>
      <c r="K188" s="22">
        <v>0</v>
      </c>
      <c r="L188" s="22">
        <v>0</v>
      </c>
      <c r="M188" s="22">
        <v>0</v>
      </c>
      <c r="N188" s="22">
        <v>0</v>
      </c>
      <c r="O188" s="22">
        <v>0</v>
      </c>
    </row>
    <row r="189" spans="3:15" x14ac:dyDescent="0.35">
      <c r="C189" s="22"/>
      <c r="D189" s="22" t="s">
        <v>40</v>
      </c>
      <c r="E189" s="22">
        <v>0</v>
      </c>
      <c r="F189" s="22">
        <v>0</v>
      </c>
      <c r="G189" s="22">
        <v>50000</v>
      </c>
      <c r="H189" s="22">
        <v>200000</v>
      </c>
      <c r="I189" s="22">
        <v>0</v>
      </c>
      <c r="J189" s="22">
        <v>0</v>
      </c>
      <c r="K189" s="22">
        <v>0</v>
      </c>
      <c r="L189" s="22">
        <v>0</v>
      </c>
      <c r="M189" s="22">
        <v>0</v>
      </c>
      <c r="N189" s="22">
        <v>0</v>
      </c>
      <c r="O189" s="22">
        <v>0</v>
      </c>
    </row>
    <row r="190" spans="3:15" x14ac:dyDescent="0.35">
      <c r="C190" s="22"/>
      <c r="D190" s="22" t="s">
        <v>41</v>
      </c>
      <c r="E190" s="22">
        <v>0</v>
      </c>
      <c r="F190" s="22">
        <v>0</v>
      </c>
      <c r="G190" s="22">
        <v>0</v>
      </c>
      <c r="H190" s="22">
        <v>0</v>
      </c>
      <c r="I190" s="22">
        <v>50000</v>
      </c>
      <c r="J190" s="22">
        <v>1100000</v>
      </c>
      <c r="K190" s="22">
        <v>0</v>
      </c>
      <c r="L190" s="22">
        <v>0</v>
      </c>
      <c r="M190" s="22">
        <v>0</v>
      </c>
      <c r="N190" s="22">
        <v>0</v>
      </c>
      <c r="O190" s="22">
        <v>0</v>
      </c>
    </row>
    <row r="191" spans="3:15" x14ac:dyDescent="0.35"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</row>
    <row r="192" spans="3:15" x14ac:dyDescent="0.35"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</row>
    <row r="193" spans="3:15" x14ac:dyDescent="0.35"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</row>
    <row r="194" spans="3:15" x14ac:dyDescent="0.35"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</row>
    <row r="195" spans="3:15" x14ac:dyDescent="0.35"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</row>
    <row r="197" spans="3:15" x14ac:dyDescent="0.35">
      <c r="C197" s="22"/>
      <c r="D197" s="27" t="s">
        <v>51</v>
      </c>
      <c r="E197" s="27">
        <f>SUM(E156:E195)</f>
        <v>5241397</v>
      </c>
      <c r="F197" s="27">
        <f t="shared" ref="F197:O197" si="3">SUM(F156:F195)</f>
        <v>11034542</v>
      </c>
      <c r="G197" s="27">
        <f t="shared" si="3"/>
        <v>7469719</v>
      </c>
      <c r="H197" s="27">
        <f t="shared" si="3"/>
        <v>2750000</v>
      </c>
      <c r="I197" s="27">
        <f t="shared" si="3"/>
        <v>2600000</v>
      </c>
      <c r="J197" s="27">
        <f t="shared" si="3"/>
        <v>2200000</v>
      </c>
      <c r="K197" s="27">
        <f t="shared" si="3"/>
        <v>100000</v>
      </c>
      <c r="L197" s="27">
        <f t="shared" si="3"/>
        <v>3150000</v>
      </c>
      <c r="M197" s="27">
        <f t="shared" si="3"/>
        <v>4950000</v>
      </c>
      <c r="N197" s="27">
        <f t="shared" si="3"/>
        <v>1150000</v>
      </c>
      <c r="O197" s="27">
        <f t="shared" si="3"/>
        <v>700000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2AFF2-8942-44ED-960B-C6B59233F2A3}">
  <sheetPr>
    <tabColor rgb="FFFFCC00"/>
  </sheetPr>
  <dimension ref="A13:V36"/>
  <sheetViews>
    <sheetView showGridLines="0" workbookViewId="0">
      <selection activeCell="J44" sqref="J44"/>
    </sheetView>
  </sheetViews>
  <sheetFormatPr defaultRowHeight="14.5" x14ac:dyDescent="0.35"/>
  <cols>
    <col min="1" max="3" width="3.6328125" customWidth="1"/>
    <col min="4" max="4" width="96.1796875" bestFit="1" customWidth="1"/>
    <col min="5" max="5" width="9.6328125" bestFit="1" customWidth="1"/>
    <col min="6" max="6" width="30.1796875" bestFit="1" customWidth="1"/>
    <col min="7" max="7" width="11.7265625" bestFit="1" customWidth="1"/>
    <col min="8" max="9" width="12" bestFit="1" customWidth="1"/>
    <col min="10" max="10" width="10.81640625" bestFit="1" customWidth="1"/>
    <col min="11" max="11" width="14.6328125" bestFit="1" customWidth="1"/>
    <col min="12" max="13" width="10.81640625" bestFit="1" customWidth="1"/>
    <col min="14" max="14" width="11.90625" bestFit="1" customWidth="1"/>
    <col min="15" max="17" width="10.81640625" bestFit="1" customWidth="1"/>
    <col min="18" max="18" width="5.1796875" bestFit="1" customWidth="1"/>
    <col min="19" max="19" width="10.81640625" bestFit="1" customWidth="1"/>
  </cols>
  <sheetData>
    <row r="13" spans="1:22" x14ac:dyDescent="0.35">
      <c r="E13" s="1"/>
    </row>
    <row r="14" spans="1:22" ht="15" thickBot="1" x14ac:dyDescent="0.4">
      <c r="E14" s="1"/>
    </row>
    <row r="15" spans="1:22" ht="18.5" thickTop="1" thickBot="1" x14ac:dyDescent="0.4">
      <c r="A15" s="15"/>
      <c r="B15" s="15"/>
      <c r="C15" s="15" t="s">
        <v>84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spans="1:22" ht="15" thickTop="1" x14ac:dyDescent="0.35">
      <c r="E16" s="3"/>
    </row>
    <row r="17" spans="1:19" x14ac:dyDescent="0.35">
      <c r="A17" s="2"/>
      <c r="B17" s="2"/>
      <c r="C17" s="17" t="s">
        <v>85</v>
      </c>
      <c r="D17" s="17"/>
      <c r="E17" s="17"/>
      <c r="F17" s="17" t="s">
        <v>86</v>
      </c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1:19" x14ac:dyDescent="0.35">
      <c r="A18" s="2"/>
      <c r="B18" s="2"/>
      <c r="C18" s="4"/>
      <c r="D18" s="4" t="s">
        <v>3</v>
      </c>
      <c r="E18" s="4" t="s">
        <v>1</v>
      </c>
      <c r="F18" s="4">
        <v>2023</v>
      </c>
      <c r="G18" s="4">
        <v>2024</v>
      </c>
      <c r="H18" s="4">
        <v>2025</v>
      </c>
      <c r="I18" s="4">
        <v>2026</v>
      </c>
      <c r="J18" s="4">
        <v>2027</v>
      </c>
      <c r="K18" s="4">
        <v>2028</v>
      </c>
      <c r="L18" s="4">
        <v>2029</v>
      </c>
      <c r="M18" s="4">
        <v>2030</v>
      </c>
      <c r="N18" s="4">
        <v>2031</v>
      </c>
      <c r="O18" s="4">
        <v>2032</v>
      </c>
      <c r="P18" s="4">
        <v>2033</v>
      </c>
      <c r="Q18" s="4">
        <v>2034</v>
      </c>
      <c r="R18" s="4">
        <v>2035</v>
      </c>
    </row>
    <row r="19" spans="1:19" x14ac:dyDescent="0.35">
      <c r="A19" s="2"/>
      <c r="B19" s="2"/>
      <c r="C19" s="5">
        <v>1</v>
      </c>
      <c r="D19" s="5" t="str" cm="1">
        <f t="array" ref="D19">INDEX(sys.options,C19)</f>
        <v>Option 1 - Defer to AA6</v>
      </c>
      <c r="E19" s="5" t="s">
        <v>81</v>
      </c>
      <c r="G19" s="24">
        <f>'I|Program'!E59</f>
        <v>0</v>
      </c>
      <c r="H19" s="24">
        <f>'I|Program'!F59</f>
        <v>413456.58</v>
      </c>
      <c r="I19" s="24">
        <f>'I|Program'!G59</f>
        <v>413456.58</v>
      </c>
      <c r="J19" s="24">
        <f>'I|Program'!H59</f>
        <v>413456.58</v>
      </c>
      <c r="K19" s="24">
        <f>'I|Program'!I59</f>
        <v>413456.58</v>
      </c>
      <c r="L19" s="24">
        <f>'I|Program'!J59</f>
        <v>413456.58</v>
      </c>
      <c r="M19" s="24">
        <f>'I|Program'!K59</f>
        <v>5441397</v>
      </c>
      <c r="N19" s="24">
        <f>'I|Program'!L59</f>
        <v>13493643</v>
      </c>
      <c r="O19" s="24">
        <f>'I|Program'!M59</f>
        <v>8650000</v>
      </c>
      <c r="P19" s="24">
        <f>'I|Program'!N59</f>
        <v>6990899</v>
      </c>
      <c r="Q19" s="24">
        <f>'I|Program'!O59</f>
        <v>6769719</v>
      </c>
      <c r="R19" s="24">
        <f>'I|Program'!P59</f>
        <v>0</v>
      </c>
    </row>
    <row r="20" spans="1:19" x14ac:dyDescent="0.35">
      <c r="A20" s="2"/>
      <c r="B20" s="2"/>
      <c r="C20" s="5">
        <v>2</v>
      </c>
      <c r="D20" s="5" t="str" cm="1">
        <f t="array" ref="D20">INDEX(sys.options,C20)</f>
        <v>Option 2 - Focus on control and cathodic protection systems</v>
      </c>
      <c r="E20" s="5" t="s">
        <v>81</v>
      </c>
      <c r="F20" s="24"/>
      <c r="G20" s="24">
        <f>'I|Program'!E105</f>
        <v>5241397</v>
      </c>
      <c r="H20" s="24">
        <f>'I|Program'!F105</f>
        <v>9834542</v>
      </c>
      <c r="I20" s="24">
        <f>'I|Program'!G105</f>
        <v>5369719</v>
      </c>
      <c r="J20" s="24">
        <f>'I|Program'!H105</f>
        <v>2450000</v>
      </c>
      <c r="K20" s="24">
        <f>'I|Program'!I105</f>
        <v>2000000</v>
      </c>
      <c r="L20" s="24">
        <f>'I|Program'!J105</f>
        <v>1600000</v>
      </c>
      <c r="M20" s="24">
        <f>'I|Program'!K105</f>
        <v>100000</v>
      </c>
      <c r="N20" s="24">
        <f>'I|Program'!L105</f>
        <v>5850000</v>
      </c>
      <c r="O20" s="24">
        <f>'I|Program'!M105</f>
        <v>6300000</v>
      </c>
      <c r="P20" s="24">
        <f>'I|Program'!N105</f>
        <v>3850000</v>
      </c>
      <c r="Q20" s="24">
        <f>'I|Program'!O105</f>
        <v>1150000</v>
      </c>
      <c r="R20" s="24">
        <f>'I|Program'!P105</f>
        <v>0</v>
      </c>
    </row>
    <row r="21" spans="1:19" x14ac:dyDescent="0.35">
      <c r="A21" s="2"/>
      <c r="B21" s="2"/>
      <c r="C21" s="5">
        <v>3</v>
      </c>
      <c r="D21" s="5" t="str" cm="1">
        <f t="array" ref="D21">INDEX(sys.options,C21)</f>
        <v>Option 3 - Complete in AA5</v>
      </c>
      <c r="E21" s="5" t="s">
        <v>81</v>
      </c>
      <c r="F21" s="24"/>
      <c r="G21" s="24">
        <f>'I|Program'!E151</f>
        <v>5241397</v>
      </c>
      <c r="H21" s="24">
        <f>'I|Program'!F151</f>
        <v>11034542</v>
      </c>
      <c r="I21" s="24">
        <f>'I|Program'!G151</f>
        <v>7519719</v>
      </c>
      <c r="J21" s="24">
        <f>'I|Program'!H151</f>
        <v>4750000</v>
      </c>
      <c r="K21" s="24">
        <f>'I|Program'!I151</f>
        <v>6800000</v>
      </c>
      <c r="L21" s="24">
        <f>'I|Program'!J151</f>
        <v>6000000</v>
      </c>
      <c r="M21" s="24">
        <f>'I|Program'!K151</f>
        <v>0</v>
      </c>
      <c r="N21" s="24">
        <f>'I|Program'!L151</f>
        <v>0</v>
      </c>
      <c r="O21" s="24">
        <f>'I|Program'!M151</f>
        <v>0</v>
      </c>
      <c r="P21" s="24">
        <f>'I|Program'!N151</f>
        <v>0</v>
      </c>
      <c r="Q21" s="24">
        <f>'I|Program'!O151</f>
        <v>0</v>
      </c>
      <c r="R21" s="24">
        <f>'I|Program'!P151</f>
        <v>0</v>
      </c>
    </row>
    <row r="22" spans="1:19" x14ac:dyDescent="0.35">
      <c r="A22" s="2"/>
      <c r="B22" s="2"/>
      <c r="C22" s="5">
        <v>4</v>
      </c>
      <c r="D22" s="5" t="str" cm="1">
        <f t="array" ref="D22">INDEX(sys.options,C22)</f>
        <v>Option 4 - Complete over AA5 and AA6</v>
      </c>
      <c r="E22" s="5" t="s">
        <v>81</v>
      </c>
      <c r="F22" s="24"/>
      <c r="G22" s="24">
        <f>'I|Program'!E197</f>
        <v>5241397</v>
      </c>
      <c r="H22" s="24">
        <f>'I|Program'!F197</f>
        <v>11034542</v>
      </c>
      <c r="I22" s="24">
        <f>'I|Program'!G197</f>
        <v>7469719</v>
      </c>
      <c r="J22" s="24">
        <f>'I|Program'!H197</f>
        <v>2750000</v>
      </c>
      <c r="K22" s="24">
        <f>'I|Program'!I197</f>
        <v>2600000</v>
      </c>
      <c r="L22" s="24">
        <f>'I|Program'!J197</f>
        <v>2200000</v>
      </c>
      <c r="M22" s="24">
        <f>'I|Program'!K197</f>
        <v>100000</v>
      </c>
      <c r="N22" s="24">
        <f>'I|Program'!L197</f>
        <v>3150000</v>
      </c>
      <c r="O22" s="24">
        <f>'I|Program'!M197</f>
        <v>4950000</v>
      </c>
      <c r="P22" s="24">
        <f>'I|Program'!N197</f>
        <v>1150000</v>
      </c>
      <c r="Q22" s="24">
        <f>'I|Program'!O197</f>
        <v>700000</v>
      </c>
      <c r="R22" s="24">
        <f>'I|Program'!P197</f>
        <v>0</v>
      </c>
    </row>
    <row r="24" spans="1:19" x14ac:dyDescent="0.35">
      <c r="C24" s="17" t="s">
        <v>87</v>
      </c>
      <c r="D24" s="17"/>
      <c r="E24" s="17"/>
      <c r="F24" s="17" t="s">
        <v>82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1:19" x14ac:dyDescent="0.35">
      <c r="C25" s="4"/>
      <c r="D25" s="4" t="s">
        <v>3</v>
      </c>
      <c r="E25" s="4" t="s">
        <v>1</v>
      </c>
      <c r="F25" s="4">
        <v>2023</v>
      </c>
      <c r="G25" s="4">
        <v>2024</v>
      </c>
      <c r="H25" s="4">
        <v>2025</v>
      </c>
      <c r="I25" s="4">
        <v>2026</v>
      </c>
      <c r="J25" s="4">
        <v>2027</v>
      </c>
      <c r="K25" s="4">
        <v>2028</v>
      </c>
      <c r="L25" s="4">
        <v>2029</v>
      </c>
      <c r="M25" s="4">
        <v>2030</v>
      </c>
      <c r="N25" s="4">
        <v>2031</v>
      </c>
      <c r="O25" s="4">
        <v>2032</v>
      </c>
      <c r="P25" s="4">
        <v>2033</v>
      </c>
      <c r="Q25" s="4">
        <v>2034</v>
      </c>
      <c r="R25" s="4">
        <v>2035</v>
      </c>
      <c r="S25" s="7"/>
    </row>
    <row r="26" spans="1:19" x14ac:dyDescent="0.35">
      <c r="C26" s="5">
        <v>1</v>
      </c>
      <c r="D26" s="5" t="str" cm="1">
        <f t="array" ref="D26">INDEX(sys.options,C26)</f>
        <v>Option 1 - Defer to AA6</v>
      </c>
      <c r="E26" s="5" t="s">
        <v>81</v>
      </c>
      <c r="F26" s="24">
        <f>50%*SUM(F19:G19)</f>
        <v>0</v>
      </c>
      <c r="G26" s="24">
        <f t="shared" ref="G26:R26" si="0">50%*SUM(G19:H19)</f>
        <v>206728.29</v>
      </c>
      <c r="H26" s="24">
        <f t="shared" si="0"/>
        <v>413456.58</v>
      </c>
      <c r="I26" s="24">
        <f t="shared" si="0"/>
        <v>413456.58</v>
      </c>
      <c r="J26" s="24">
        <f t="shared" si="0"/>
        <v>413456.58</v>
      </c>
      <c r="K26" s="24">
        <f t="shared" si="0"/>
        <v>413456.58</v>
      </c>
      <c r="L26" s="24">
        <f t="shared" si="0"/>
        <v>2927426.79</v>
      </c>
      <c r="M26" s="24">
        <f t="shared" si="0"/>
        <v>9467520</v>
      </c>
      <c r="N26" s="24">
        <f t="shared" si="0"/>
        <v>11071821.5</v>
      </c>
      <c r="O26" s="24">
        <f t="shared" si="0"/>
        <v>7820449.5</v>
      </c>
      <c r="P26" s="24">
        <f t="shared" si="0"/>
        <v>6880309</v>
      </c>
      <c r="Q26" s="24">
        <f t="shared" si="0"/>
        <v>3384859.5</v>
      </c>
      <c r="R26" s="24">
        <f t="shared" si="0"/>
        <v>0</v>
      </c>
      <c r="S26" s="6"/>
    </row>
    <row r="27" spans="1:19" x14ac:dyDescent="0.35">
      <c r="C27" s="5">
        <v>2</v>
      </c>
      <c r="D27" s="5" t="str" cm="1">
        <f t="array" ref="D27">INDEX(sys.options,C27)</f>
        <v>Option 2 - Focus on control and cathodic protection systems</v>
      </c>
      <c r="E27" s="5" t="s">
        <v>81</v>
      </c>
      <c r="F27" s="24">
        <f t="shared" ref="F27:R29" si="1">50%*SUM(F20:G20)</f>
        <v>2620698.5</v>
      </c>
      <c r="G27" s="24">
        <f t="shared" ref="G27:R27" si="2">50%*SUM(G20:H20)</f>
        <v>7537969.5</v>
      </c>
      <c r="H27" s="24">
        <f t="shared" si="2"/>
        <v>7602130.5</v>
      </c>
      <c r="I27" s="24">
        <f t="shared" si="2"/>
        <v>3909859.5</v>
      </c>
      <c r="J27" s="24">
        <f t="shared" si="2"/>
        <v>2225000</v>
      </c>
      <c r="K27" s="24">
        <f t="shared" si="2"/>
        <v>1800000</v>
      </c>
      <c r="L27" s="24">
        <f t="shared" si="2"/>
        <v>850000</v>
      </c>
      <c r="M27" s="24">
        <f t="shared" si="2"/>
        <v>2975000</v>
      </c>
      <c r="N27" s="24">
        <f t="shared" si="2"/>
        <v>6075000</v>
      </c>
      <c r="O27" s="24">
        <f t="shared" si="2"/>
        <v>5075000</v>
      </c>
      <c r="P27" s="24">
        <f t="shared" si="2"/>
        <v>2500000</v>
      </c>
      <c r="Q27" s="24">
        <f t="shared" si="2"/>
        <v>575000</v>
      </c>
      <c r="R27" s="24">
        <f t="shared" si="2"/>
        <v>0</v>
      </c>
      <c r="S27" s="6"/>
    </row>
    <row r="28" spans="1:19" x14ac:dyDescent="0.35">
      <c r="C28" s="5">
        <v>3</v>
      </c>
      <c r="D28" s="5" t="str" cm="1">
        <f t="array" ref="D28">INDEX(sys.options,C28)</f>
        <v>Option 3 - Complete in AA5</v>
      </c>
      <c r="E28" s="5" t="s">
        <v>81</v>
      </c>
      <c r="F28" s="24">
        <f t="shared" si="1"/>
        <v>2620698.5</v>
      </c>
      <c r="G28" s="24">
        <f t="shared" ref="G28:R28" si="3">50%*SUM(G21:H21)</f>
        <v>8137969.5</v>
      </c>
      <c r="H28" s="24">
        <f t="shared" si="3"/>
        <v>9277130.5</v>
      </c>
      <c r="I28" s="24">
        <f t="shared" si="3"/>
        <v>6134859.5</v>
      </c>
      <c r="J28" s="24">
        <f t="shared" si="3"/>
        <v>5775000</v>
      </c>
      <c r="K28" s="24">
        <f t="shared" si="3"/>
        <v>6400000</v>
      </c>
      <c r="L28" s="24">
        <f t="shared" si="3"/>
        <v>3000000</v>
      </c>
      <c r="M28" s="24">
        <f t="shared" si="3"/>
        <v>0</v>
      </c>
      <c r="N28" s="24">
        <f t="shared" si="3"/>
        <v>0</v>
      </c>
      <c r="O28" s="24">
        <f t="shared" si="3"/>
        <v>0</v>
      </c>
      <c r="P28" s="24">
        <f t="shared" si="3"/>
        <v>0</v>
      </c>
      <c r="Q28" s="24">
        <f t="shared" si="3"/>
        <v>0</v>
      </c>
      <c r="R28" s="24">
        <f t="shared" si="3"/>
        <v>0</v>
      </c>
      <c r="S28" s="6"/>
    </row>
    <row r="29" spans="1:19" x14ac:dyDescent="0.35">
      <c r="C29" s="5">
        <v>4</v>
      </c>
      <c r="D29" s="5" t="str" cm="1">
        <f t="array" ref="D29">INDEX(sys.options,C29)</f>
        <v>Option 4 - Complete over AA5 and AA6</v>
      </c>
      <c r="E29" s="5" t="s">
        <v>81</v>
      </c>
      <c r="F29" s="24">
        <f t="shared" si="1"/>
        <v>2620698.5</v>
      </c>
      <c r="G29" s="24">
        <f t="shared" ref="G29:R29" si="4">50%*SUM(G22:H22)</f>
        <v>8137969.5</v>
      </c>
      <c r="H29" s="24">
        <f t="shared" si="4"/>
        <v>9252130.5</v>
      </c>
      <c r="I29" s="24">
        <f t="shared" si="4"/>
        <v>5109859.5</v>
      </c>
      <c r="J29" s="24">
        <f t="shared" si="4"/>
        <v>2675000</v>
      </c>
      <c r="K29" s="24">
        <f t="shared" si="4"/>
        <v>2400000</v>
      </c>
      <c r="L29" s="24">
        <f t="shared" si="4"/>
        <v>1150000</v>
      </c>
      <c r="M29" s="24">
        <f t="shared" si="4"/>
        <v>1625000</v>
      </c>
      <c r="N29" s="24">
        <f t="shared" si="4"/>
        <v>4050000</v>
      </c>
      <c r="O29" s="24">
        <f t="shared" si="4"/>
        <v>3050000</v>
      </c>
      <c r="P29" s="24">
        <f t="shared" si="4"/>
        <v>925000</v>
      </c>
      <c r="Q29" s="24">
        <f t="shared" si="4"/>
        <v>350000</v>
      </c>
      <c r="R29" s="24">
        <f t="shared" si="4"/>
        <v>0</v>
      </c>
      <c r="S29" s="6"/>
    </row>
    <row r="31" spans="1:19" x14ac:dyDescent="0.35">
      <c r="C31" s="17" t="s">
        <v>88</v>
      </c>
      <c r="D31" s="17"/>
      <c r="E31" s="17"/>
      <c r="F31" s="17"/>
      <c r="G31" s="17"/>
      <c r="H31" s="17"/>
      <c r="I31" s="17"/>
      <c r="J31" s="17"/>
      <c r="K31" s="17"/>
    </row>
    <row r="32" spans="1:19" x14ac:dyDescent="0.35">
      <c r="C32" s="4"/>
      <c r="D32" s="4" t="s">
        <v>3</v>
      </c>
      <c r="E32" s="4" t="s">
        <v>1</v>
      </c>
      <c r="F32" s="4" t="s">
        <v>89</v>
      </c>
      <c r="G32" s="4" t="s">
        <v>64</v>
      </c>
      <c r="H32" s="4" t="s">
        <v>58</v>
      </c>
      <c r="I32" s="4" t="s">
        <v>59</v>
      </c>
      <c r="J32" s="4" t="s">
        <v>51</v>
      </c>
      <c r="K32" s="25" t="s">
        <v>61</v>
      </c>
    </row>
    <row r="33" spans="3:11" x14ac:dyDescent="0.35">
      <c r="C33" s="5">
        <v>1</v>
      </c>
      <c r="D33" s="5" t="str" cm="1">
        <f t="array" ref="D33">INDEX(sys.options,C33)</f>
        <v>Option 1 - Defer to AA6</v>
      </c>
      <c r="E33" s="5" t="s">
        <v>81</v>
      </c>
      <c r="F33" s="26">
        <f>NPV(RealWACC,F26:Q26)*(1+RealWACC)/millions</f>
        <v>28.84516410168764</v>
      </c>
      <c r="G33" s="26">
        <f>SUM(F26:G26)/millions</f>
        <v>0.20672829000000001</v>
      </c>
      <c r="H33" s="26">
        <f>SUM(H26:L26)/millions</f>
        <v>4.5812531100000005</v>
      </c>
      <c r="I33" s="26">
        <f>SUM(M26:Q26)/1000000</f>
        <v>38.624959500000003</v>
      </c>
      <c r="J33" s="26">
        <f>SUM(G33:I33)</f>
        <v>43.412940900000002</v>
      </c>
      <c r="K33" s="26">
        <f>SUM(F19:Q19)/millions-J33</f>
        <v>0</v>
      </c>
    </row>
    <row r="34" spans="3:11" x14ac:dyDescent="0.35">
      <c r="C34" s="5">
        <v>2</v>
      </c>
      <c r="D34" s="5" t="str" cm="1">
        <f t="array" ref="D34">INDEX(sys.options,C34)</f>
        <v>Option 2 - Focus on control and cathodic protection systems</v>
      </c>
      <c r="E34" s="5" t="s">
        <v>81</v>
      </c>
      <c r="F34" s="26">
        <f>NPV(RealWACC,F27:Q27)*(1+RealWACC)/millions</f>
        <v>35.068415056713619</v>
      </c>
      <c r="G34" s="26">
        <f>SUM(F27:G27)/millions</f>
        <v>10.158668</v>
      </c>
      <c r="H34" s="26">
        <f>SUM(H27:L27)/millions</f>
        <v>16.386990000000001</v>
      </c>
      <c r="I34" s="26">
        <f t="shared" ref="I34:I36" si="5">SUM(M27:Q27)/1000000</f>
        <v>17.2</v>
      </c>
      <c r="J34" s="26">
        <f t="shared" ref="J34:J36" si="6">SUM(G34:I34)</f>
        <v>43.745658000000006</v>
      </c>
      <c r="K34" s="26">
        <f>SUM(F20:Q20)/millions-J34</f>
        <v>0</v>
      </c>
    </row>
    <row r="35" spans="3:11" x14ac:dyDescent="0.35">
      <c r="C35" s="5">
        <v>3</v>
      </c>
      <c r="D35" s="5" t="str" cm="1">
        <f t="array" ref="D35">INDEX(sys.options,C35)</f>
        <v>Option 3 - Complete in AA5</v>
      </c>
      <c r="E35" s="5" t="s">
        <v>81</v>
      </c>
      <c r="F35" s="26">
        <f>NPV(RealWACC,F28:Q28)*(1+RealWACC)/millions</f>
        <v>35.922327573799983</v>
      </c>
      <c r="G35" s="26">
        <f>SUM(F28:G28)/millions</f>
        <v>10.758668</v>
      </c>
      <c r="H35" s="26">
        <f>SUM(H28:L28)/millions</f>
        <v>30.58699</v>
      </c>
      <c r="I35" s="26">
        <f t="shared" si="5"/>
        <v>0</v>
      </c>
      <c r="J35" s="26">
        <f t="shared" si="6"/>
        <v>41.345658</v>
      </c>
      <c r="K35" s="26">
        <f>SUM(F21:Q21)/millions-J35</f>
        <v>0</v>
      </c>
    </row>
    <row r="36" spans="3:11" x14ac:dyDescent="0.35">
      <c r="C36" s="5">
        <v>4</v>
      </c>
      <c r="D36" s="5" t="str" cm="1">
        <f t="array" ref="D36">INDEX(sys.options,C36)</f>
        <v>Option 4 - Complete over AA5 and AA6</v>
      </c>
      <c r="E36" s="5" t="s">
        <v>81</v>
      </c>
      <c r="F36" s="26">
        <f>NPV(RealWACC,F29:Q29)*(1+RealWACC)/millions</f>
        <v>34.552121467598418</v>
      </c>
      <c r="G36" s="26">
        <f>SUM(F29:G29)/millions</f>
        <v>10.758668</v>
      </c>
      <c r="H36" s="26">
        <f>SUM(H29:L29)/millions</f>
        <v>20.58699</v>
      </c>
      <c r="I36" s="26">
        <f t="shared" si="5"/>
        <v>10</v>
      </c>
      <c r="J36" s="26">
        <f t="shared" si="6"/>
        <v>41.345658</v>
      </c>
      <c r="K36" s="26">
        <f>SUM(F22:Q22)/millions-J36</f>
        <v>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d6daee-f4a7-4732-a98f-e16bcf69aece" xsi:nil="true"/>
    <lcf76f155ced4ddcb4097134ff3c332f xmlns="11cdd4fa-266d-4037-89ac-74561c71e55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3840557847574E8A2F34BEAF52EB06" ma:contentTypeVersion="16" ma:contentTypeDescription="Create a new document." ma:contentTypeScope="" ma:versionID="171d3d7ba4714804697c7c907862e35b">
  <xsd:schema xmlns:xsd="http://www.w3.org/2001/XMLSchema" xmlns:xs="http://www.w3.org/2001/XMLSchema" xmlns:p="http://schemas.microsoft.com/office/2006/metadata/properties" xmlns:ns2="11cdd4fa-266d-4037-89ac-74561c71e551" xmlns:ns3="74d6daee-f4a7-4732-a98f-e16bcf69aece" targetNamespace="http://schemas.microsoft.com/office/2006/metadata/properties" ma:root="true" ma:fieldsID="9fbb99f91ff5e90d76996f72b65409aa" ns2:_="" ns3:_="">
    <xsd:import namespace="11cdd4fa-266d-4037-89ac-74561c71e551"/>
    <xsd:import namespace="74d6daee-f4a7-4732-a98f-e16bcf69ae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dd4fa-266d-4037-89ac-74561c71e5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eeeb581-cbb3-4079-81a4-cc92836bd0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d6daee-f4a7-4732-a98f-e16bcf69aec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f5d188-7959-4383-af8d-fe7395181e03}" ma:internalName="TaxCatchAll" ma:showField="CatchAllData" ma:web="74d6daee-f4a7-4732-a98f-e16bcf69ae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8AE462-3E38-4454-8E09-F23A2940A7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C465A0-F87A-4CE1-99BE-CF3EC1E29C13}">
  <ds:schemaRefs>
    <ds:schemaRef ds:uri="http://schemas.microsoft.com/office/2006/documentManagement/types"/>
    <ds:schemaRef ds:uri="74c04105-76d9-4256-9364-af51479a327e"/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http://purl.org/dc/elements/1.1/"/>
    <ds:schemaRef ds:uri="657bab12-2230-4ba5-9c0a-1023524d9930"/>
    <ds:schemaRef ds:uri="http://schemas.openxmlformats.org/package/2006/metadata/core-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0A81F55-D0BC-40B3-A5F9-3663E5F278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Cover</vt:lpstr>
      <vt:lpstr>Sys</vt:lpstr>
      <vt:lpstr>I|Program</vt:lpstr>
      <vt:lpstr>C|NPV</vt:lpstr>
      <vt:lpstr>millions</vt:lpstr>
      <vt:lpstr>sys.options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Turnley</dc:creator>
  <cp:lastModifiedBy>James Turnley</cp:lastModifiedBy>
  <dcterms:created xsi:type="dcterms:W3CDTF">2023-10-31T05:42:35Z</dcterms:created>
  <dcterms:modified xsi:type="dcterms:W3CDTF">2023-12-12T11:09:16Z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0x010100713840557847574E8A2F34BEAF52EB06</vt:lpwstr>
  </property>
  <property fmtid="{D5CDD505-2E9C-101B-9397-08002B2CF9AE}" pid="3" name="MediaServiceImageTags">
    <vt:lpwstr/>
  </property>
</Properties>
</file>