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amscloud.sharepoint.com/sites/Goldfields2025-29AccessArrangementproposal/Shared Documents/01. GGP 2025-29 AA Initial proposal 1 January 2024/a. Final PDF &amp; Excel models/"/>
    </mc:Choice>
  </mc:AlternateContent>
  <xr:revisionPtr revIDLastSave="0" documentId="8_{7CEA35C4-5485-4922-BE3B-3D0542431F66}" xr6:coauthVersionLast="47" xr6:coauthVersionMax="47" xr10:uidLastSave="{00000000-0000-0000-0000-000000000000}"/>
  <bookViews>
    <workbookView xWindow="-15105" yWindow="-24120" windowWidth="57840" windowHeight="23640" activeTab="8" xr2:uid="{D499B48E-D629-4133-A012-67740C0550ED}"/>
  </bookViews>
  <sheets>
    <sheet name="Cover" sheetId="1" r:id="rId1"/>
    <sheet name="1. Historic Opex" sheetId="16" r:id="rId2"/>
    <sheet name="2. NGI Demand Adjustment" sheetId="19" r:id="rId3"/>
    <sheet name="3. Base year" sheetId="6" r:id="rId4"/>
    <sheet name="4. Escalation" sheetId="10" r:id="rId5"/>
    <sheet name="5. Step changes" sheetId="11" r:id="rId6"/>
    <sheet name="6. AA5 forecast summary" sheetId="2" r:id="rId7"/>
    <sheet name="7. Forecast by category" sheetId="4" r:id="rId8"/>
    <sheet name="8. CPI" sheetId="17" r:id="rId9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6" l="1"/>
  <c r="D18" i="4"/>
  <c r="E18" i="4"/>
  <c r="F18" i="4"/>
  <c r="G18" i="4"/>
  <c r="D20" i="4"/>
  <c r="E20" i="4"/>
  <c r="E23" i="4"/>
  <c r="F20" i="4"/>
  <c r="G20" i="4"/>
  <c r="C20" i="4"/>
  <c r="C18" i="4"/>
  <c r="C23" i="4"/>
  <c r="D22" i="4"/>
  <c r="E22" i="4"/>
  <c r="F22" i="4"/>
  <c r="G22" i="4"/>
  <c r="C22" i="4"/>
  <c r="D21" i="4"/>
  <c r="E21" i="4"/>
  <c r="F21" i="4"/>
  <c r="G21" i="4"/>
  <c r="C21" i="4"/>
  <c r="C26" i="6"/>
  <c r="F19" i="17"/>
  <c r="G19" i="17"/>
  <c r="C28" i="2"/>
  <c r="C21" i="2"/>
  <c r="C20" i="6"/>
  <c r="G49" i="10"/>
  <c r="D49" i="10"/>
  <c r="F44" i="10"/>
  <c r="C44" i="10"/>
  <c r="B44" i="10"/>
  <c r="B37" i="10"/>
  <c r="B36" i="10"/>
  <c r="C18" i="2"/>
  <c r="C24" i="6"/>
  <c r="C22" i="6"/>
  <c r="H19" i="11"/>
  <c r="B32" i="10"/>
  <c r="B29" i="10"/>
  <c r="B31" i="10"/>
  <c r="D26" i="19"/>
  <c r="D31" i="19"/>
  <c r="C25" i="6"/>
  <c r="D21" i="11"/>
  <c r="E21" i="11"/>
  <c r="F21" i="11"/>
  <c r="G21" i="11"/>
  <c r="C21" i="11"/>
  <c r="H25" i="2"/>
  <c r="D25" i="2"/>
  <c r="E25" i="2"/>
  <c r="F25" i="2"/>
  <c r="G25" i="2"/>
  <c r="C25" i="2"/>
  <c r="H20" i="11"/>
  <c r="G20" i="11"/>
  <c r="F20" i="11"/>
  <c r="E20" i="11"/>
  <c r="D20" i="11"/>
  <c r="C20" i="11"/>
  <c r="H21" i="11"/>
  <c r="H18" i="11"/>
  <c r="B38" i="10"/>
  <c r="D22" i="19"/>
  <c r="C18" i="19"/>
  <c r="C19" i="19"/>
  <c r="C20" i="19"/>
  <c r="C21" i="19"/>
  <c r="C30" i="19"/>
  <c r="C17" i="19"/>
  <c r="C26" i="19"/>
  <c r="C27" i="19"/>
  <c r="C28" i="19"/>
  <c r="C29" i="19"/>
  <c r="C31" i="19"/>
  <c r="C24" i="2"/>
  <c r="D24" i="2"/>
  <c r="E24" i="2"/>
  <c r="F24" i="2"/>
  <c r="G24" i="2"/>
  <c r="D23" i="2"/>
  <c r="E23" i="2"/>
  <c r="F23" i="2"/>
  <c r="G23" i="2"/>
  <c r="C23" i="2"/>
  <c r="A24" i="2"/>
  <c r="A23" i="2"/>
  <c r="H23" i="2"/>
  <c r="H24" i="2"/>
  <c r="G17" i="17"/>
  <c r="F18" i="17"/>
  <c r="C18" i="17"/>
  <c r="D18" i="17"/>
  <c r="E18" i="17"/>
  <c r="C23" i="16"/>
  <c r="F23" i="16"/>
  <c r="E23" i="16"/>
  <c r="D23" i="16"/>
  <c r="H22" i="16"/>
  <c r="H21" i="16"/>
  <c r="H20" i="16"/>
  <c r="H19" i="16"/>
  <c r="H18" i="16"/>
  <c r="H23" i="16"/>
  <c r="F18" i="10"/>
  <c r="F20" i="10"/>
  <c r="F19" i="10"/>
  <c r="H36" i="16"/>
  <c r="D41" i="16"/>
  <c r="C41" i="16"/>
  <c r="D19" i="17"/>
  <c r="E45" i="16"/>
  <c r="B19" i="17"/>
  <c r="G27" i="16"/>
  <c r="C19" i="17"/>
  <c r="D49" i="16"/>
  <c r="E19" i="17"/>
  <c r="F49" i="16"/>
  <c r="E29" i="16"/>
  <c r="G31" i="16"/>
  <c r="F29" i="16"/>
  <c r="D27" i="16"/>
  <c r="G29" i="16"/>
  <c r="E27" i="16"/>
  <c r="C30" i="16"/>
  <c r="F27" i="16"/>
  <c r="D30" i="16"/>
  <c r="F31" i="16"/>
  <c r="C28" i="16"/>
  <c r="E30" i="16"/>
  <c r="C27" i="16"/>
  <c r="E31" i="16"/>
  <c r="D28" i="16"/>
  <c r="F30" i="16"/>
  <c r="E28" i="16"/>
  <c r="G30" i="16"/>
  <c r="D29" i="16"/>
  <c r="F28" i="16"/>
  <c r="C31" i="16"/>
  <c r="D31" i="16"/>
  <c r="G28" i="16"/>
  <c r="C29" i="16"/>
  <c r="C46" i="16"/>
  <c r="C47" i="16"/>
  <c r="C48" i="16"/>
  <c r="C49" i="16"/>
  <c r="C45" i="16"/>
  <c r="E48" i="16"/>
  <c r="E46" i="16"/>
  <c r="E49" i="16"/>
  <c r="E47" i="16"/>
  <c r="D47" i="16"/>
  <c r="D45" i="16"/>
  <c r="D48" i="16"/>
  <c r="D46" i="16"/>
  <c r="F45" i="16"/>
  <c r="F48" i="16"/>
  <c r="F46" i="16"/>
  <c r="B28" i="10"/>
  <c r="B30" i="10"/>
  <c r="C23" i="6"/>
  <c r="D30" i="19"/>
  <c r="D29" i="19"/>
  <c r="D27" i="19"/>
  <c r="D28" i="19"/>
  <c r="G45" i="16"/>
  <c r="F47" i="16"/>
  <c r="F50" i="16"/>
  <c r="F32" i="16"/>
  <c r="E32" i="16"/>
  <c r="H28" i="16"/>
  <c r="G32" i="16"/>
  <c r="H31" i="16"/>
  <c r="H30" i="16"/>
  <c r="D32" i="16"/>
  <c r="C32" i="16"/>
  <c r="H27" i="16"/>
  <c r="H29" i="16"/>
  <c r="C50" i="16"/>
  <c r="E50" i="16"/>
  <c r="G48" i="16"/>
  <c r="G46" i="16"/>
  <c r="G49" i="16"/>
  <c r="H49" i="16"/>
  <c r="G47" i="16"/>
  <c r="D50" i="16"/>
  <c r="E41" i="16"/>
  <c r="F41" i="16"/>
  <c r="G41" i="16"/>
  <c r="D19" i="4"/>
  <c r="C19" i="4"/>
  <c r="E19" i="4"/>
  <c r="F19" i="4"/>
  <c r="G19" i="4"/>
  <c r="C18" i="6"/>
  <c r="H32" i="16"/>
  <c r="H47" i="16"/>
  <c r="H46" i="16"/>
  <c r="H45" i="16"/>
  <c r="H48" i="16"/>
  <c r="H40" i="16"/>
  <c r="H39" i="16"/>
  <c r="G40" i="10"/>
  <c r="G39" i="10"/>
  <c r="B33" i="10"/>
  <c r="H20" i="2"/>
  <c r="B24" i="10"/>
  <c r="F24" i="10"/>
  <c r="C24" i="10"/>
  <c r="C25" i="10"/>
  <c r="D24" i="10"/>
  <c r="E24" i="10"/>
  <c r="I24" i="10"/>
  <c r="H24" i="10"/>
  <c r="G24" i="10"/>
  <c r="D25" i="10"/>
  <c r="E25" i="10"/>
  <c r="B47" i="10"/>
  <c r="B48" i="10"/>
  <c r="F25" i="10"/>
  <c r="C47" i="10"/>
  <c r="C48" i="10"/>
  <c r="G25" i="10"/>
  <c r="D47" i="10"/>
  <c r="D48" i="10"/>
  <c r="H25" i="10"/>
  <c r="E47" i="10"/>
  <c r="E48" i="10"/>
  <c r="I25" i="10"/>
  <c r="F48" i="10"/>
  <c r="G48" i="10"/>
  <c r="F47" i="10"/>
  <c r="G47" i="10"/>
  <c r="H21" i="4"/>
  <c r="H38" i="16"/>
  <c r="D18" i="2"/>
  <c r="D21" i="2"/>
  <c r="E18" i="2"/>
  <c r="E21" i="2"/>
  <c r="F18" i="2"/>
  <c r="F21" i="2"/>
  <c r="G18" i="2"/>
  <c r="G21" i="2"/>
  <c r="H22" i="4"/>
  <c r="H41" i="16"/>
  <c r="H37" i="16"/>
  <c r="H18" i="2"/>
  <c r="H21" i="2"/>
  <c r="D36" i="10"/>
  <c r="F36" i="10"/>
  <c r="C36" i="10"/>
  <c r="E36" i="10"/>
  <c r="E37" i="10"/>
  <c r="E45" i="10"/>
  <c r="D37" i="10"/>
  <c r="D45" i="10"/>
  <c r="F37" i="10"/>
  <c r="F45" i="10"/>
  <c r="C37" i="10"/>
  <c r="C45" i="10"/>
  <c r="C38" i="10"/>
  <c r="C46" i="10"/>
  <c r="D38" i="10"/>
  <c r="D46" i="10"/>
  <c r="F38" i="10"/>
  <c r="F46" i="10"/>
  <c r="E38" i="10"/>
  <c r="E46" i="10"/>
  <c r="G37" i="10"/>
  <c r="B45" i="10"/>
  <c r="E41" i="10"/>
  <c r="E44" i="10"/>
  <c r="C41" i="10"/>
  <c r="F41" i="10"/>
  <c r="G38" i="10"/>
  <c r="B46" i="10"/>
  <c r="D41" i="10"/>
  <c r="D44" i="10"/>
  <c r="G36" i="10"/>
  <c r="B41" i="10"/>
  <c r="G46" i="10"/>
  <c r="G23" i="4"/>
  <c r="F49" i="10"/>
  <c r="G27" i="2"/>
  <c r="G28" i="2"/>
  <c r="D23" i="4"/>
  <c r="C49" i="10"/>
  <c r="D27" i="2"/>
  <c r="D28" i="2"/>
  <c r="G41" i="10"/>
  <c r="E49" i="10"/>
  <c r="F27" i="2"/>
  <c r="F28" i="2"/>
  <c r="H19" i="4"/>
  <c r="G45" i="10"/>
  <c r="B49" i="10"/>
  <c r="C27" i="2"/>
  <c r="G44" i="10"/>
  <c r="E27" i="2"/>
  <c r="E28" i="2"/>
  <c r="H27" i="2"/>
  <c r="H28" i="2"/>
  <c r="F23" i="4"/>
  <c r="H20" i="4"/>
  <c r="H23" i="4"/>
  <c r="I23" i="4"/>
  <c r="H18" i="4"/>
  <c r="G50" i="16"/>
  <c r="H50" i="16"/>
  <c r="C22" i="19"/>
</calcChain>
</file>

<file path=xl/sharedStrings.xml><?xml version="1.0" encoding="utf-8"?>
<sst xmlns="http://schemas.openxmlformats.org/spreadsheetml/2006/main" count="228" uniqueCount="85">
  <si>
    <t>Operating Expenditure Model</t>
  </si>
  <si>
    <t>Operating expenditure | Historic</t>
  </si>
  <si>
    <t>$m real at 31 December 2023</t>
  </si>
  <si>
    <t>Category</t>
  </si>
  <si>
    <t>Unit</t>
  </si>
  <si>
    <t>Total</t>
  </si>
  <si>
    <t>Pipeline operation</t>
  </si>
  <si>
    <t>$m real</t>
  </si>
  <si>
    <t>Major expenditure jobs</t>
  </si>
  <si>
    <t>Commercial operation</t>
  </si>
  <si>
    <t>Regulatory costs</t>
  </si>
  <si>
    <t>Corporate costs</t>
  </si>
  <si>
    <t>Total forecast opex</t>
  </si>
  <si>
    <t>GGT Category</t>
  </si>
  <si>
    <t>Opex category</t>
  </si>
  <si>
    <t>GGT operating costs</t>
  </si>
  <si>
    <t>APA commercial operations</t>
  </si>
  <si>
    <t>Operating expenditure | Base year</t>
  </si>
  <si>
    <t>Base year</t>
  </si>
  <si>
    <t>2022 opex base year</t>
  </si>
  <si>
    <t>Remove separately forecast</t>
  </si>
  <si>
    <t>MEJs</t>
  </si>
  <si>
    <t>Payroll adjustment</t>
  </si>
  <si>
    <t>Operating expenditure | Escalation</t>
  </si>
  <si>
    <t>Labour escalation factor methodology</t>
  </si>
  <si>
    <t>2023/24 budget</t>
  </si>
  <si>
    <t>Average</t>
  </si>
  <si>
    <t>WA WPI growth</t>
  </si>
  <si>
    <t>Perth CPI growth</t>
  </si>
  <si>
    <t>Labour escalation factor</t>
  </si>
  <si>
    <t>Labour escalation</t>
  </si>
  <si>
    <t>Labour cost escalator</t>
  </si>
  <si>
    <t>Index</t>
  </si>
  <si>
    <t>Base year labour</t>
  </si>
  <si>
    <t>Administration (contract/temporary staff)</t>
  </si>
  <si>
    <t>Operations (field services)
(contractors O&amp;M)</t>
  </si>
  <si>
    <t>APA operations</t>
  </si>
  <si>
    <t>Pipeline operations</t>
  </si>
  <si>
    <t>MEJs (contractors - engineering)</t>
  </si>
  <si>
    <t>Projects/operations contingency (contractors general)</t>
  </si>
  <si>
    <t>Percentage of opex</t>
  </si>
  <si>
    <t>Operating expenditure | Summary</t>
  </si>
  <si>
    <t>Forecast operating expenditure</t>
  </si>
  <si>
    <t>SoCI</t>
  </si>
  <si>
    <t>Labour cost escalation</t>
  </si>
  <si>
    <t>Operating expenditure | Summary by category</t>
  </si>
  <si>
    <t>Operating expenditure | CPI</t>
  </si>
  <si>
    <t>Period End Inflation</t>
  </si>
  <si>
    <t>Period End CPI (December)</t>
  </si>
  <si>
    <t>$m nominal</t>
  </si>
  <si>
    <t>Base year labour cost</t>
  </si>
  <si>
    <t>Operating expenditure summary | Step Changes</t>
  </si>
  <si>
    <t>Source: Government of Western Australia - Major Economic Aggregates (https://www.wa.gov.au/system/files/2023-05/economic-forecasts_0.pdf)</t>
  </si>
  <si>
    <t>2024/25 outyear</t>
  </si>
  <si>
    <t>2025/26 outyear</t>
  </si>
  <si>
    <t>2026/27 outyear</t>
  </si>
  <si>
    <t>$</t>
  </si>
  <si>
    <t>Source: ERA, Final Decision on Proposed Revisions to the Goldfields Gas Pipeline Access Arrangement for 2020 to 2024, 19 December 2019, p. 67.</t>
  </si>
  <si>
    <t>$m real 18</t>
  </si>
  <si>
    <t>$m real 23</t>
  </si>
  <si>
    <t>AA4 ERA approved operating expenditure</t>
  </si>
  <si>
    <t>GGT actual operating expenditure</t>
  </si>
  <si>
    <t>Source: Auditor-reviewed opex schedules for covered pipeline</t>
  </si>
  <si>
    <t>Source: ABS, All Groups CPI, Australia - December</t>
  </si>
  <si>
    <t>Add: Separate forecasts</t>
  </si>
  <si>
    <t>Starting: Base year operating expenditure</t>
  </si>
  <si>
    <t>Equals: Baseline forecast operating expenditure</t>
  </si>
  <si>
    <t>Add: Real labour cost escalation</t>
  </si>
  <si>
    <t>Step changes</t>
  </si>
  <si>
    <t>AA6 regulatory proposal</t>
  </si>
  <si>
    <t>Add: Step changes</t>
  </si>
  <si>
    <t>$ real</t>
  </si>
  <si>
    <t>Demand side management</t>
  </si>
  <si>
    <t>Remove non-recurring costs</t>
  </si>
  <si>
    <t>Operating expenditure | NGI Demand Adjustment</t>
  </si>
  <si>
    <t>2022 - NGI</t>
  </si>
  <si>
    <t>2023*</t>
  </si>
  <si>
    <t>* Forecast - to be updated when December 2023 CPI is available</t>
  </si>
  <si>
    <t>Enterprise resource planning (ERP)</t>
  </si>
  <si>
    <t>APA Operations Management Fee</t>
  </si>
  <si>
    <t>APA Commercial Management Fee</t>
  </si>
  <si>
    <t>Inflation factor - real 2023</t>
  </si>
  <si>
    <t>Safeguard mechanism initiatives</t>
  </si>
  <si>
    <t>Attachment 11.1</t>
  </si>
  <si>
    <t>Goldfields Gas Pipeline Access Arrangement 2025-29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</si>
</sst>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%"/>
    <numFmt numFmtId="167" formatCode="[$-C09]d\ 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alibri"/>
      <family val="2"/>
      <scheme val="minor"/>
    </font>
    <font>
      <i/>
      <sz val="11"/>
      <color theme="1"/>
      <name val="Century Gothic"/>
      <family val="2"/>
    </font>
    <font>
      <b/>
      <sz val="14"/>
      <color rgb="FF007300"/>
      <name val="Century Gothic"/>
      <family val="2"/>
    </font>
    <font>
      <b/>
      <sz val="22"/>
      <color rgb="FF007300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  <font>
      <sz val="9"/>
      <color rgb="FF007300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rgb="FF0073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007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7300"/>
      </top>
      <bottom style="thick">
        <color rgb="FF007300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5" applyNumberFormat="0" applyFill="0" applyProtection="0">
      <alignment vertical="center"/>
    </xf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10" fontId="1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2" fillId="0" borderId="1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0" borderId="5" xfId="3">
      <alignment vertical="center"/>
    </xf>
    <xf numFmtId="0" fontId="9" fillId="0" borderId="5" xfId="3" applyFont="1">
      <alignment vertical="center"/>
    </xf>
    <xf numFmtId="164" fontId="2" fillId="0" borderId="1" xfId="0" applyNumberFormat="1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5" xfId="3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2" applyNumberFormat="1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10" fontId="2" fillId="0" borderId="0" xfId="2" applyNumberFormat="1" applyFont="1" applyBorder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/>
    <xf numFmtId="9" fontId="1" fillId="0" borderId="0" xfId="2" applyFont="1"/>
    <xf numFmtId="166" fontId="1" fillId="0" borderId="0" xfId="2" applyNumberFormat="1" applyFont="1"/>
    <xf numFmtId="0" fontId="15" fillId="0" borderId="0" xfId="0" applyFont="1"/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2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0" fontId="1" fillId="0" borderId="1" xfId="2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 indent="1"/>
    </xf>
    <xf numFmtId="164" fontId="1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</cellXfs>
  <cellStyles count="4">
    <cellStyle name="Currency" xfId="1" builtinId="4"/>
    <cellStyle name="Normal" xfId="0" builtinId="0"/>
    <cellStyle name="Per cent" xfId="2" builtinId="5"/>
    <cellStyle name="Title" xfId="3" builtinId="15" customBuiltin="1"/>
  </cellStyles>
  <dxfs count="0"/>
  <tableStyles count="0" defaultTableStyle="TableStyleMedium2" defaultPivotStyle="PivotStyleLight16"/>
  <colors>
    <mruColors>
      <color rgb="FFFFCC00"/>
      <color rgb="FF007300"/>
      <color rgb="FFFFF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1</xdr:row>
      <xdr:rowOff>44452</xdr:rowOff>
    </xdr:from>
    <xdr:to>
      <xdr:col>7</xdr:col>
      <xdr:colOff>314325</xdr:colOff>
      <xdr:row>42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329A7-E4BF-4777-8464-2F82E82BB1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215902"/>
          <a:ext cx="5638800" cy="7010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D89168-5E27-4C7D-9623-D1A00DFE5E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4948BB-F337-481D-B7CF-DACEAA842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6BFAF1-96D1-472D-861D-CC897A601D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8125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D6CA53-D3CB-4231-AB82-C6F69CAAB0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1552575</xdr:colOff>
      <xdr:row>11</xdr:row>
      <xdr:rowOff>82551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8669DB-B164-4604-851C-41BB53C071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89AC05-812C-4A64-8328-E621F3FD1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504950" cy="1892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BF09D-EDB7-46D9-98CE-4B69CF5B9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95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76200</xdr:rowOff>
    </xdr:from>
    <xdr:to>
      <xdr:col>0</xdr:col>
      <xdr:colOff>1549400</xdr:colOff>
      <xdr:row>11</xdr:row>
      <xdr:rowOff>85726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3B8F36-3633-48E8-BA13-AA4D6F4FB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1504950" cy="18632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0457-7186-4F58-92DB-6CFC02FCB22D}">
  <sheetPr>
    <tabColor rgb="FFFFCC00"/>
  </sheetPr>
  <dimension ref="B1:K50"/>
  <sheetViews>
    <sheetView showGridLines="0" zoomScale="70" zoomScaleNormal="70" workbookViewId="0">
      <selection activeCell="T47" sqref="T47"/>
    </sheetView>
  </sheetViews>
  <sheetFormatPr defaultColWidth="8.7265625" defaultRowHeight="13.5" x14ac:dyDescent="0.25"/>
  <cols>
    <col min="1" max="1" width="5.1796875" style="1" customWidth="1"/>
    <col min="2" max="2" width="30.453125" style="1" bestFit="1" customWidth="1"/>
    <col min="3" max="16384" width="8.7265625" style="1"/>
  </cols>
  <sheetData>
    <row r="1" s="1" customFormat="1" x14ac:dyDescent="0.25"/>
    <row r="2" s="1" customFormat="1" x14ac:dyDescent="0.25"/>
    <row r="4" s="1" customFormat="1" x14ac:dyDescent="0.25"/>
    <row r="5" s="1" customFormat="1" x14ac:dyDescent="0.25"/>
    <row r="6" s="1" customFormat="1" x14ac:dyDescent="0.25"/>
    <row r="8" s="1" customFormat="1" x14ac:dyDescent="0.25"/>
    <row r="9" s="1" customFormat="1" x14ac:dyDescent="0.25"/>
    <row r="12" s="1" customFormat="1" x14ac:dyDescent="0.25"/>
    <row r="13" s="1" customFormat="1" x14ac:dyDescent="0.25"/>
    <row r="45" spans="2:11" ht="17.149999999999999" customHeight="1" thickBot="1" x14ac:dyDescent="0.3"/>
    <row r="46" spans="2:11" ht="50.5" customHeight="1" thickTop="1" thickBot="1" x14ac:dyDescent="0.3">
      <c r="B46" s="28" t="s">
        <v>84</v>
      </c>
      <c r="C46" s="27"/>
      <c r="D46" s="27"/>
      <c r="E46" s="27"/>
      <c r="F46" s="27"/>
      <c r="G46" s="27"/>
      <c r="H46" s="27"/>
      <c r="I46" s="27"/>
      <c r="J46" s="27"/>
      <c r="K46" s="27"/>
    </row>
    <row r="47" spans="2:11" ht="28.5" customHeight="1" thickTop="1" x14ac:dyDescent="0.5">
      <c r="B47" s="3"/>
    </row>
    <row r="48" spans="2:11" ht="20.5" x14ac:dyDescent="0.4">
      <c r="B48" s="4" t="s">
        <v>83</v>
      </c>
    </row>
    <row r="49" spans="2:2" ht="19.5" x14ac:dyDescent="0.35">
      <c r="B49" s="2" t="s">
        <v>0</v>
      </c>
    </row>
    <row r="50" spans="2:2" ht="20.5" x14ac:dyDescent="0.4">
      <c r="B50" s="66">
        <v>45292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7FFA-4A10-4A74-8954-BAC1FFBE1BF7}">
  <sheetPr>
    <tabColor rgb="FFFFF5CD"/>
  </sheetPr>
  <dimension ref="A13:L52"/>
  <sheetViews>
    <sheetView showGridLines="0" zoomScale="115" zoomScaleNormal="115" workbookViewId="0">
      <selection activeCell="A24" sqref="A24"/>
    </sheetView>
  </sheetViews>
  <sheetFormatPr defaultColWidth="8.7265625" defaultRowHeight="13.5" x14ac:dyDescent="0.25"/>
  <cols>
    <col min="1" max="1" width="26.453125" style="1" customWidth="1"/>
    <col min="2" max="2" width="12.36328125" style="1" bestFit="1" customWidth="1"/>
    <col min="3" max="6" width="8.81640625" style="1" bestFit="1" customWidth="1"/>
    <col min="7" max="7" width="9.453125" style="1" bestFit="1" customWidth="1"/>
    <col min="8" max="16384" width="8.7265625" style="1"/>
  </cols>
  <sheetData>
    <row r="13" spans="1:12" ht="14" thickBot="1" x14ac:dyDescent="0.3"/>
    <row r="14" spans="1:12" ht="19.5" customHeight="1" thickTop="1" thickBot="1" x14ac:dyDescent="0.4">
      <c r="A14" s="27" t="s">
        <v>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</row>
    <row r="15" spans="1:12" ht="14" thickTop="1" x14ac:dyDescent="0.25"/>
    <row r="16" spans="1:12" ht="14" x14ac:dyDescent="0.3">
      <c r="A16" s="46" t="s">
        <v>60</v>
      </c>
      <c r="B16" s="47"/>
      <c r="C16" s="47"/>
      <c r="D16" s="47"/>
      <c r="E16" s="47"/>
      <c r="F16" s="47"/>
      <c r="G16" s="47"/>
      <c r="H16" s="47"/>
    </row>
    <row r="17" spans="1:12" ht="14" x14ac:dyDescent="0.3">
      <c r="A17" s="17" t="s">
        <v>3</v>
      </c>
      <c r="B17" s="16" t="s">
        <v>4</v>
      </c>
      <c r="C17" s="16">
        <v>2020</v>
      </c>
      <c r="D17" s="16">
        <v>2021</v>
      </c>
      <c r="E17" s="16">
        <v>2022</v>
      </c>
      <c r="F17" s="16">
        <v>2023</v>
      </c>
      <c r="G17" s="16">
        <v>2024</v>
      </c>
      <c r="H17" s="16" t="s">
        <v>5</v>
      </c>
    </row>
    <row r="18" spans="1:12" ht="14" x14ac:dyDescent="0.3">
      <c r="A18" s="5" t="s">
        <v>6</v>
      </c>
      <c r="B18" s="5" t="s">
        <v>58</v>
      </c>
      <c r="C18" s="11">
        <v>12.222</v>
      </c>
      <c r="D18" s="11">
        <v>12.268000000000001</v>
      </c>
      <c r="E18" s="11">
        <v>12.318</v>
      </c>
      <c r="F18" s="11">
        <v>12.358000000000001</v>
      </c>
      <c r="G18" s="11">
        <v>12.411</v>
      </c>
      <c r="H18" s="29">
        <f>SUM(C18:G18)</f>
        <v>61.576999999999998</v>
      </c>
      <c r="L18" s="56"/>
    </row>
    <row r="19" spans="1:12" ht="14" x14ac:dyDescent="0.3">
      <c r="A19" s="5" t="s">
        <v>8</v>
      </c>
      <c r="B19" s="5" t="s">
        <v>58</v>
      </c>
      <c r="C19" s="11">
        <v>0.56000000000000005</v>
      </c>
      <c r="D19" s="11">
        <v>0.48</v>
      </c>
      <c r="E19" s="11">
        <v>0.67</v>
      </c>
      <c r="F19" s="11">
        <v>0.2</v>
      </c>
      <c r="G19" s="11">
        <v>0.5</v>
      </c>
      <c r="H19" s="29">
        <f t="shared" ref="H19:H23" si="0">SUM(C19:G19)</f>
        <v>2.41</v>
      </c>
      <c r="L19" s="56"/>
    </row>
    <row r="20" spans="1:12" ht="14" x14ac:dyDescent="0.3">
      <c r="A20" s="5" t="s">
        <v>9</v>
      </c>
      <c r="B20" s="5" t="s">
        <v>58</v>
      </c>
      <c r="C20" s="11">
        <v>0.61499999999999999</v>
      </c>
      <c r="D20" s="11">
        <v>0.61699999999999999</v>
      </c>
      <c r="E20" s="11">
        <v>0.61899999999999999</v>
      </c>
      <c r="F20" s="11">
        <v>0.621</v>
      </c>
      <c r="G20" s="11">
        <v>0.624</v>
      </c>
      <c r="H20" s="29">
        <f t="shared" si="0"/>
        <v>3.0960000000000001</v>
      </c>
      <c r="L20" s="56"/>
    </row>
    <row r="21" spans="1:12" ht="14" x14ac:dyDescent="0.3">
      <c r="A21" s="5" t="s">
        <v>10</v>
      </c>
      <c r="B21" s="5" t="s">
        <v>58</v>
      </c>
      <c r="C21" s="11">
        <v>0.68200000000000005</v>
      </c>
      <c r="D21" s="11">
        <v>0.68200000000000005</v>
      </c>
      <c r="E21" s="11">
        <v>0.68200000000000005</v>
      </c>
      <c r="F21" s="11">
        <v>0.68200000000000005</v>
      </c>
      <c r="G21" s="11">
        <v>0.68200000000000005</v>
      </c>
      <c r="H21" s="29">
        <f t="shared" si="0"/>
        <v>3.41</v>
      </c>
      <c r="L21" s="56"/>
    </row>
    <row r="22" spans="1:12" ht="14" x14ac:dyDescent="0.3">
      <c r="A22" s="5" t="s">
        <v>11</v>
      </c>
      <c r="B22" s="5" t="s">
        <v>58</v>
      </c>
      <c r="C22" s="11">
        <v>2.669</v>
      </c>
      <c r="D22" s="11">
        <v>2.669</v>
      </c>
      <c r="E22" s="11">
        <v>2.669</v>
      </c>
      <c r="F22" s="11">
        <v>2.669</v>
      </c>
      <c r="G22" s="11">
        <v>2.669</v>
      </c>
      <c r="H22" s="29">
        <f t="shared" si="0"/>
        <v>13.345000000000001</v>
      </c>
      <c r="L22" s="56"/>
    </row>
    <row r="23" spans="1:12" ht="14" x14ac:dyDescent="0.3">
      <c r="A23" s="6" t="s">
        <v>12</v>
      </c>
      <c r="B23" s="6" t="s">
        <v>58</v>
      </c>
      <c r="C23" s="29">
        <f>SUM(C18:C22)</f>
        <v>16.748000000000001</v>
      </c>
      <c r="D23" s="29">
        <f>SUM(D18:D22)</f>
        <v>16.716000000000001</v>
      </c>
      <c r="E23" s="29">
        <f t="shared" ref="E23:F23" si="1">SUM(E18:E22)</f>
        <v>16.957999999999998</v>
      </c>
      <c r="F23" s="29">
        <f t="shared" si="1"/>
        <v>16.53</v>
      </c>
      <c r="G23" s="29">
        <f>SUM(G18:G22)</f>
        <v>16.885999999999999</v>
      </c>
      <c r="H23" s="29">
        <f t="shared" si="0"/>
        <v>83.837999999999994</v>
      </c>
      <c r="L23" s="56"/>
    </row>
    <row r="24" spans="1:12" ht="14" x14ac:dyDescent="0.3">
      <c r="A24" s="43" t="s">
        <v>57</v>
      </c>
      <c r="B24" s="40"/>
      <c r="C24" s="41"/>
      <c r="D24" s="41"/>
      <c r="E24" s="41"/>
      <c r="F24" s="41"/>
      <c r="G24" s="41"/>
      <c r="H24" s="42"/>
    </row>
    <row r="26" spans="1:12" ht="14" x14ac:dyDescent="0.3">
      <c r="A26" s="17" t="s">
        <v>3</v>
      </c>
      <c r="B26" s="16" t="s">
        <v>4</v>
      </c>
      <c r="C26" s="16">
        <v>2020</v>
      </c>
      <c r="D26" s="16">
        <v>2021</v>
      </c>
      <c r="E26" s="16">
        <v>2022</v>
      </c>
      <c r="F26" s="16">
        <v>2023</v>
      </c>
      <c r="G26" s="16">
        <v>2024</v>
      </c>
      <c r="H26" s="16" t="s">
        <v>5</v>
      </c>
    </row>
    <row r="27" spans="1:12" ht="14" x14ac:dyDescent="0.3">
      <c r="A27" s="5" t="s">
        <v>6</v>
      </c>
      <c r="B27" s="5" t="s">
        <v>59</v>
      </c>
      <c r="C27" s="11">
        <f>C18*'8. CPI'!$B$19</f>
        <v>14.606307607361964</v>
      </c>
      <c r="D27" s="11">
        <f>D18*'8. CPI'!$B$19</f>
        <v>14.661281437335674</v>
      </c>
      <c r="E27" s="11">
        <f>E18*'8. CPI'!$B$19</f>
        <v>14.721035600350572</v>
      </c>
      <c r="F27" s="11">
        <f>F18*'8. CPI'!$B$19</f>
        <v>14.768838930762492</v>
      </c>
      <c r="G27" s="11">
        <f>G18*'8. CPI'!$B$19</f>
        <v>14.832178343558283</v>
      </c>
      <c r="H27" s="29">
        <f>SUM(C27:G27)</f>
        <v>73.589641919368972</v>
      </c>
    </row>
    <row r="28" spans="1:12" ht="14" x14ac:dyDescent="0.3">
      <c r="A28" s="5" t="s">
        <v>8</v>
      </c>
      <c r="B28" s="5" t="s">
        <v>59</v>
      </c>
      <c r="C28" s="11">
        <f>C19*'8. CPI'!$B$19</f>
        <v>0.66924662576687133</v>
      </c>
      <c r="D28" s="11">
        <f>D19*'8. CPI'!$B$19</f>
        <v>0.57363996494303249</v>
      </c>
      <c r="E28" s="11">
        <f>E19*'8. CPI'!$B$19</f>
        <v>0.80070578439964957</v>
      </c>
      <c r="F28" s="11">
        <f>F19*'8. CPI'!$B$19</f>
        <v>0.23901665205959688</v>
      </c>
      <c r="G28" s="11">
        <f>G19*'8. CPI'!$B$19</f>
        <v>0.5975416301489922</v>
      </c>
      <c r="H28" s="29">
        <f t="shared" ref="H28:H32" si="2">SUM(C28:G28)</f>
        <v>2.8801506573181426</v>
      </c>
    </row>
    <row r="29" spans="1:12" ht="14" x14ac:dyDescent="0.3">
      <c r="A29" s="5" t="s">
        <v>9</v>
      </c>
      <c r="B29" s="5" t="s">
        <v>59</v>
      </c>
      <c r="C29" s="11">
        <f>C20*'8. CPI'!$B$19</f>
        <v>0.73497620508326045</v>
      </c>
      <c r="D29" s="11">
        <f>D20*'8. CPI'!$B$19</f>
        <v>0.73736637160385632</v>
      </c>
      <c r="E29" s="11">
        <f>E20*'8. CPI'!$B$19</f>
        <v>0.7397565381244523</v>
      </c>
      <c r="F29" s="11">
        <f>F20*'8. CPI'!$B$19</f>
        <v>0.74214670464504828</v>
      </c>
      <c r="G29" s="11">
        <f>G20*'8. CPI'!$B$19</f>
        <v>0.74573195442594231</v>
      </c>
      <c r="H29" s="29">
        <f t="shared" si="2"/>
        <v>3.6999777738825599</v>
      </c>
    </row>
    <row r="30" spans="1:12" ht="14" x14ac:dyDescent="0.3">
      <c r="A30" s="5" t="s">
        <v>10</v>
      </c>
      <c r="B30" s="5" t="s">
        <v>59</v>
      </c>
      <c r="C30" s="11">
        <f>C21*'8. CPI'!$B$19</f>
        <v>0.81504678352322546</v>
      </c>
      <c r="D30" s="11">
        <f>D21*'8. CPI'!$B$19</f>
        <v>0.81504678352322546</v>
      </c>
      <c r="E30" s="11">
        <f>E21*'8. CPI'!$B$19</f>
        <v>0.81504678352322546</v>
      </c>
      <c r="F30" s="11">
        <f>F21*'8. CPI'!$B$19</f>
        <v>0.81504678352322546</v>
      </c>
      <c r="G30" s="11">
        <f>G21*'8. CPI'!$B$19</f>
        <v>0.81504678352322546</v>
      </c>
      <c r="H30" s="29">
        <f t="shared" si="2"/>
        <v>4.075233917616127</v>
      </c>
    </row>
    <row r="31" spans="1:12" ht="14" x14ac:dyDescent="0.3">
      <c r="A31" s="5" t="s">
        <v>11</v>
      </c>
      <c r="B31" s="5" t="s">
        <v>59</v>
      </c>
      <c r="C31" s="11">
        <f>C22*'8. CPI'!$B$19</f>
        <v>3.1896772217353204</v>
      </c>
      <c r="D31" s="11">
        <f>D22*'8. CPI'!$B$19</f>
        <v>3.1896772217353204</v>
      </c>
      <c r="E31" s="11">
        <f>E22*'8. CPI'!$B$19</f>
        <v>3.1896772217353204</v>
      </c>
      <c r="F31" s="11">
        <f>F22*'8. CPI'!$B$19</f>
        <v>3.1896772217353204</v>
      </c>
      <c r="G31" s="11">
        <f>G22*'8. CPI'!$B$19</f>
        <v>3.1896772217353204</v>
      </c>
      <c r="H31" s="29">
        <f t="shared" si="2"/>
        <v>15.948386108676601</v>
      </c>
    </row>
    <row r="32" spans="1:12" ht="14" x14ac:dyDescent="0.3">
      <c r="A32" s="6" t="s">
        <v>12</v>
      </c>
      <c r="B32" s="6" t="s">
        <v>59</v>
      </c>
      <c r="C32" s="29">
        <f>SUM(C27:C31)</f>
        <v>20.015254443470642</v>
      </c>
      <c r="D32" s="29">
        <f t="shared" ref="D32:G32" si="3">SUM(D27:D31)</f>
        <v>19.977011779141108</v>
      </c>
      <c r="E32" s="29">
        <f t="shared" si="3"/>
        <v>20.26622192813322</v>
      </c>
      <c r="F32" s="29">
        <f t="shared" si="3"/>
        <v>19.754726292725682</v>
      </c>
      <c r="G32" s="29">
        <f t="shared" si="3"/>
        <v>20.180175933391762</v>
      </c>
      <c r="H32" s="29">
        <f t="shared" si="2"/>
        <v>100.19339037686241</v>
      </c>
    </row>
    <row r="34" spans="1:8" ht="14" x14ac:dyDescent="0.3">
      <c r="A34" s="46" t="s">
        <v>61</v>
      </c>
      <c r="B34" s="47"/>
      <c r="C34" s="47"/>
      <c r="D34" s="47"/>
      <c r="E34" s="47"/>
      <c r="F34" s="47"/>
      <c r="G34" s="47"/>
      <c r="H34" s="47"/>
    </row>
    <row r="35" spans="1:8" ht="16.5" customHeight="1" x14ac:dyDescent="0.3">
      <c r="A35" s="17" t="s">
        <v>3</v>
      </c>
      <c r="B35" s="16" t="s">
        <v>4</v>
      </c>
      <c r="C35" s="16">
        <v>2018</v>
      </c>
      <c r="D35" s="16">
        <v>2019</v>
      </c>
      <c r="E35" s="16">
        <v>2020</v>
      </c>
      <c r="F35" s="16">
        <v>2021</v>
      </c>
      <c r="G35" s="16">
        <v>2022</v>
      </c>
      <c r="H35" s="16" t="s">
        <v>5</v>
      </c>
    </row>
    <row r="36" spans="1:8" ht="14" x14ac:dyDescent="0.3">
      <c r="A36" s="5" t="s">
        <v>6</v>
      </c>
      <c r="B36" s="5" t="s">
        <v>49</v>
      </c>
      <c r="C36" s="11">
        <v>12.294</v>
      </c>
      <c r="D36" s="11">
        <v>13.761892921020946</v>
      </c>
      <c r="E36" s="11">
        <v>11.652855000000001</v>
      </c>
      <c r="F36" s="11">
        <v>14.675418000000001</v>
      </c>
      <c r="G36" s="11">
        <v>16.701667</v>
      </c>
      <c r="H36" s="29">
        <f>SUM(C36:G36)</f>
        <v>69.085832921020952</v>
      </c>
    </row>
    <row r="37" spans="1:8" ht="14" x14ac:dyDescent="0.3">
      <c r="A37" s="5" t="s">
        <v>8</v>
      </c>
      <c r="B37" s="5" t="s">
        <v>49</v>
      </c>
      <c r="C37" s="11">
        <v>4.9000000000000002E-2</v>
      </c>
      <c r="D37" s="11">
        <v>0.16152928594572544</v>
      </c>
      <c r="E37" s="11">
        <v>2.8868000000000001E-2</v>
      </c>
      <c r="F37" s="11">
        <v>0.26592500000000002</v>
      </c>
      <c r="G37" s="11">
        <v>0.47587600000000002</v>
      </c>
      <c r="H37" s="29">
        <f t="shared" ref="H37:H41" si="4">SUM(C37:G37)</f>
        <v>0.98119828594572556</v>
      </c>
    </row>
    <row r="38" spans="1:8" ht="14" x14ac:dyDescent="0.3">
      <c r="A38" s="5" t="s">
        <v>9</v>
      </c>
      <c r="B38" s="5" t="s">
        <v>49</v>
      </c>
      <c r="C38" s="11">
        <v>0.77700000000000002</v>
      </c>
      <c r="D38" s="11">
        <v>0.82440632463201002</v>
      </c>
      <c r="E38" s="11">
        <v>0.485958</v>
      </c>
      <c r="F38" s="11">
        <v>0.70980600000000005</v>
      </c>
      <c r="G38" s="11">
        <v>0.91251800000000016</v>
      </c>
      <c r="H38" s="29">
        <f t="shared" si="4"/>
        <v>3.70968832463201</v>
      </c>
    </row>
    <row r="39" spans="1:8" ht="14" x14ac:dyDescent="0.3">
      <c r="A39" s="5" t="s">
        <v>10</v>
      </c>
      <c r="B39" s="5" t="s">
        <v>49</v>
      </c>
      <c r="C39" s="11">
        <v>0.44500000000000001</v>
      </c>
      <c r="D39" s="11">
        <v>0.4903573424999999</v>
      </c>
      <c r="E39" s="11">
        <v>0.48427900000000002</v>
      </c>
      <c r="F39" s="11">
        <v>0.45125899999999997</v>
      </c>
      <c r="G39" s="11">
        <v>0.53064899999999993</v>
      </c>
      <c r="H39" s="29">
        <f t="shared" si="4"/>
        <v>2.4015443424999998</v>
      </c>
    </row>
    <row r="40" spans="1:8" ht="14" x14ac:dyDescent="0.3">
      <c r="A40" s="5" t="s">
        <v>11</v>
      </c>
      <c r="B40" s="5" t="s">
        <v>49</v>
      </c>
      <c r="C40" s="11">
        <v>4.117</v>
      </c>
      <c r="D40" s="11">
        <v>5.0871982937693767</v>
      </c>
      <c r="E40" s="11">
        <v>4.1232879999999996</v>
      </c>
      <c r="F40" s="11">
        <v>4.3973649999999997</v>
      </c>
      <c r="G40" s="11">
        <v>7.586481</v>
      </c>
      <c r="H40" s="29">
        <f t="shared" si="4"/>
        <v>25.311332293769375</v>
      </c>
    </row>
    <row r="41" spans="1:8" ht="14" x14ac:dyDescent="0.3">
      <c r="A41" s="6" t="s">
        <v>12</v>
      </c>
      <c r="B41" s="6" t="s">
        <v>49</v>
      </c>
      <c r="C41" s="29">
        <f>SUM(C36:C40)</f>
        <v>17.681999999999999</v>
      </c>
      <c r="D41" s="29">
        <f>SUM(D36:D40)</f>
        <v>20.325384167868059</v>
      </c>
      <c r="E41" s="29">
        <f t="shared" ref="E41:G41" si="5">SUM(E36:E40)</f>
        <v>16.775248000000001</v>
      </c>
      <c r="F41" s="29">
        <f t="shared" si="5"/>
        <v>20.499773000000001</v>
      </c>
      <c r="G41" s="29">
        <f t="shared" si="5"/>
        <v>26.207190999999998</v>
      </c>
      <c r="H41" s="29">
        <f t="shared" si="4"/>
        <v>101.48959616786806</v>
      </c>
    </row>
    <row r="42" spans="1:8" ht="14" x14ac:dyDescent="0.3">
      <c r="A42" s="43" t="s">
        <v>62</v>
      </c>
      <c r="B42" s="40"/>
      <c r="C42" s="41"/>
      <c r="D42" s="41"/>
      <c r="E42" s="41"/>
      <c r="F42" s="41"/>
      <c r="G42" s="41"/>
      <c r="H42" s="42"/>
    </row>
    <row r="44" spans="1:8" ht="14" x14ac:dyDescent="0.3">
      <c r="A44" s="17" t="s">
        <v>3</v>
      </c>
      <c r="B44" s="16" t="s">
        <v>4</v>
      </c>
      <c r="C44" s="16">
        <v>2018</v>
      </c>
      <c r="D44" s="16">
        <v>2019</v>
      </c>
      <c r="E44" s="16">
        <v>2020</v>
      </c>
      <c r="F44" s="16">
        <v>2021</v>
      </c>
      <c r="G44" s="16">
        <v>2022</v>
      </c>
      <c r="H44" s="16" t="s">
        <v>5</v>
      </c>
    </row>
    <row r="45" spans="1:8" ht="14" x14ac:dyDescent="0.3">
      <c r="A45" s="5" t="s">
        <v>6</v>
      </c>
      <c r="B45" s="5" t="s">
        <v>7</v>
      </c>
      <c r="C45" s="11">
        <f>C36*'8. CPI'!B$19</f>
        <v>14.69235360210342</v>
      </c>
      <c r="D45" s="11">
        <f>D36*'8. CPI'!C$19</f>
        <v>16.149380007035244</v>
      </c>
      <c r="E45" s="11">
        <f>E36*'8. CPI'!D$19</f>
        <v>13.557778625810581</v>
      </c>
      <c r="F45" s="11">
        <f>F36*'8. CPI'!E$19</f>
        <v>16.497323355828527</v>
      </c>
      <c r="G45" s="11">
        <f>G36*'8. CPI'!F$19</f>
        <v>17.411487847500002</v>
      </c>
      <c r="H45" s="29">
        <f>SUM(C45:G45)</f>
        <v>78.308323438277768</v>
      </c>
    </row>
    <row r="46" spans="1:8" ht="14" x14ac:dyDescent="0.3">
      <c r="A46" s="5" t="s">
        <v>8</v>
      </c>
      <c r="B46" s="5" t="s">
        <v>7</v>
      </c>
      <c r="C46" s="11">
        <f>C37*'8. CPI'!B$19</f>
        <v>5.8559079754601236E-2</v>
      </c>
      <c r="D46" s="11">
        <f>D37*'8. CPI'!C$19</f>
        <v>0.18955225389219602</v>
      </c>
      <c r="E46" s="11">
        <f>E37*'8. CPI'!D$19</f>
        <v>3.3587129795221847E-2</v>
      </c>
      <c r="F46" s="11">
        <f>F37*'8. CPI'!E$19</f>
        <v>0.29893872279472389</v>
      </c>
      <c r="G46" s="11">
        <f>G37*'8. CPI'!F$19</f>
        <v>0.49610072999999999</v>
      </c>
      <c r="H46" s="29">
        <f t="shared" ref="H46:H50" si="6">SUM(C46:G46)</f>
        <v>1.076737916236743</v>
      </c>
    </row>
    <row r="47" spans="1:8" ht="14" x14ac:dyDescent="0.3">
      <c r="A47" s="5" t="s">
        <v>9</v>
      </c>
      <c r="B47" s="5" t="s">
        <v>7</v>
      </c>
      <c r="C47" s="11">
        <f>C38*'8. CPI'!B$19</f>
        <v>0.92857969325153389</v>
      </c>
      <c r="D47" s="11">
        <f>D38*'8. CPI'!C$19</f>
        <v>0.96742876093370278</v>
      </c>
      <c r="E47" s="11">
        <f>E38*'8. CPI'!D$19</f>
        <v>0.56539886452218435</v>
      </c>
      <c r="F47" s="11">
        <f>F38*'8. CPI'!E$19</f>
        <v>0.797926103495466</v>
      </c>
      <c r="G47" s="11">
        <f>G38*'8. CPI'!F$19</f>
        <v>0.95130001500000017</v>
      </c>
      <c r="H47" s="29">
        <f t="shared" si="6"/>
        <v>4.2106334372028869</v>
      </c>
    </row>
    <row r="48" spans="1:8" ht="14" x14ac:dyDescent="0.3">
      <c r="A48" s="5" t="s">
        <v>10</v>
      </c>
      <c r="B48" s="5" t="s">
        <v>7</v>
      </c>
      <c r="C48" s="11">
        <f>C39*'8. CPI'!B$19</f>
        <v>0.53181205083260308</v>
      </c>
      <c r="D48" s="11">
        <f>D39*'8. CPI'!C$19</f>
        <v>0.57542716752114886</v>
      </c>
      <c r="E48" s="11">
        <f>E39*'8. CPI'!D$19</f>
        <v>0.56344539386518777</v>
      </c>
      <c r="F48" s="11">
        <f>F39*'8. CPI'!E$19</f>
        <v>0.50728133537510312</v>
      </c>
      <c r="G48" s="11">
        <f>G39*'8. CPI'!F$19</f>
        <v>0.55320158249999996</v>
      </c>
      <c r="H48" s="29">
        <f t="shared" si="6"/>
        <v>2.7311675300940426</v>
      </c>
    </row>
    <row r="49" spans="1:8" ht="14" x14ac:dyDescent="0.3">
      <c r="A49" s="5" t="s">
        <v>11</v>
      </c>
      <c r="B49" s="5" t="s">
        <v>7</v>
      </c>
      <c r="C49" s="11">
        <f>C40*'8. CPI'!B$19</f>
        <v>4.9201577826468021</v>
      </c>
      <c r="D49" s="11">
        <f>D40*'8. CPI'!C$19</f>
        <v>5.9697527722900041</v>
      </c>
      <c r="E49" s="11">
        <f>E40*'8. CPI'!D$19</f>
        <v>4.7973330067576789</v>
      </c>
      <c r="F49" s="11">
        <f>F40*'8. CPI'!E$19</f>
        <v>4.9432835452184669</v>
      </c>
      <c r="G49" s="11">
        <f>G40*'8. CPI'!F$19</f>
        <v>7.9089064425000002</v>
      </c>
      <c r="H49" s="29">
        <f t="shared" si="6"/>
        <v>28.539433549412951</v>
      </c>
    </row>
    <row r="50" spans="1:8" ht="14" x14ac:dyDescent="0.3">
      <c r="A50" s="6" t="s">
        <v>12</v>
      </c>
      <c r="B50" s="6" t="s">
        <v>7</v>
      </c>
      <c r="C50" s="29">
        <f>SUM(C45:C49)</f>
        <v>21.131462208588964</v>
      </c>
      <c r="D50" s="29">
        <f t="shared" ref="D50:G50" si="7">SUM(D45:D49)</f>
        <v>23.851540961672296</v>
      </c>
      <c r="E50" s="29">
        <f t="shared" si="7"/>
        <v>19.517543020750853</v>
      </c>
      <c r="F50" s="29">
        <f t="shared" si="7"/>
        <v>23.044753062712289</v>
      </c>
      <c r="G50" s="29">
        <f t="shared" si="7"/>
        <v>27.320996617500004</v>
      </c>
      <c r="H50" s="29">
        <f t="shared" si="6"/>
        <v>114.86629587122439</v>
      </c>
    </row>
    <row r="52" spans="1:8" x14ac:dyDescent="0.25">
      <c r="G52" s="56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9CA7-1E32-4642-AC00-39C719F100A2}">
  <sheetPr>
    <tabColor rgb="FFFFF5CD"/>
  </sheetPr>
  <dimension ref="A13:L33"/>
  <sheetViews>
    <sheetView showGridLines="0" zoomScaleNormal="100" workbookViewId="0"/>
  </sheetViews>
  <sheetFormatPr defaultColWidth="8.7265625" defaultRowHeight="13.5" x14ac:dyDescent="0.25"/>
  <cols>
    <col min="1" max="1" width="26.453125" style="1" customWidth="1"/>
    <col min="2" max="2" width="12.36328125" style="1" bestFit="1" customWidth="1"/>
    <col min="3" max="3" width="8.81640625" style="1" bestFit="1" customWidth="1"/>
    <col min="4" max="4" width="11" style="1" bestFit="1" customWidth="1"/>
    <col min="5" max="6" width="8.81640625" style="1" bestFit="1" customWidth="1"/>
    <col min="7" max="7" width="9.453125" style="1" bestFit="1" customWidth="1"/>
    <col min="8" max="16384" width="8.7265625" style="1"/>
  </cols>
  <sheetData>
    <row r="13" spans="1:12" ht="14" thickBot="1" x14ac:dyDescent="0.3"/>
    <row r="14" spans="1:12" ht="19.5" customHeight="1" thickTop="1" thickBot="1" x14ac:dyDescent="0.4">
      <c r="A14" s="27" t="s">
        <v>74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/>
    </row>
    <row r="15" spans="1:12" ht="14" thickTop="1" x14ac:dyDescent="0.25"/>
    <row r="16" spans="1:12" ht="16.5" customHeight="1" x14ac:dyDescent="0.3">
      <c r="A16" s="17" t="s">
        <v>3</v>
      </c>
      <c r="B16" s="16" t="s">
        <v>4</v>
      </c>
      <c r="C16" s="16">
        <v>2022</v>
      </c>
      <c r="D16" s="16" t="s">
        <v>75</v>
      </c>
    </row>
    <row r="17" spans="1:4" x14ac:dyDescent="0.25">
      <c r="A17" s="5" t="s">
        <v>6</v>
      </c>
      <c r="B17" s="5" t="s">
        <v>49</v>
      </c>
      <c r="C17" s="11">
        <f>'1. Historic Opex'!G36</f>
        <v>16.701667</v>
      </c>
      <c r="D17" s="11">
        <v>16.791193131193296</v>
      </c>
    </row>
    <row r="18" spans="1:4" x14ac:dyDescent="0.25">
      <c r="A18" s="5" t="s">
        <v>8</v>
      </c>
      <c r="B18" s="5" t="s">
        <v>49</v>
      </c>
      <c r="C18" s="11">
        <f>'1. Historic Opex'!G37</f>
        <v>0.47587600000000002</v>
      </c>
      <c r="D18" s="11">
        <v>0.47587617443709995</v>
      </c>
    </row>
    <row r="19" spans="1:4" x14ac:dyDescent="0.25">
      <c r="A19" s="5" t="s">
        <v>9</v>
      </c>
      <c r="B19" s="5" t="s">
        <v>49</v>
      </c>
      <c r="C19" s="11">
        <f>'1. Historic Opex'!G38</f>
        <v>0.91251800000000016</v>
      </c>
      <c r="D19" s="11">
        <v>1.0288118336627201</v>
      </c>
    </row>
    <row r="20" spans="1:4" x14ac:dyDescent="0.25">
      <c r="A20" s="5" t="s">
        <v>10</v>
      </c>
      <c r="B20" s="5" t="s">
        <v>49</v>
      </c>
      <c r="C20" s="11">
        <f>'1. Historic Opex'!G39</f>
        <v>0.53064899999999993</v>
      </c>
      <c r="D20" s="11">
        <v>0.53064866249999998</v>
      </c>
    </row>
    <row r="21" spans="1:4" x14ac:dyDescent="0.25">
      <c r="A21" s="5" t="s">
        <v>11</v>
      </c>
      <c r="B21" s="5" t="s">
        <v>49</v>
      </c>
      <c r="C21" s="11">
        <f>'1. Historic Opex'!G40</f>
        <v>7.586481</v>
      </c>
      <c r="D21" s="11">
        <v>7.5860000000000003</v>
      </c>
    </row>
    <row r="22" spans="1:4" ht="14" x14ac:dyDescent="0.3">
      <c r="A22" s="6" t="s">
        <v>12</v>
      </c>
      <c r="B22" s="6" t="s">
        <v>49</v>
      </c>
      <c r="C22" s="29">
        <f>SUM(C17:C21)</f>
        <v>26.207190999999998</v>
      </c>
      <c r="D22" s="29">
        <f>SUM(D17:D21)</f>
        <v>26.412529801793113</v>
      </c>
    </row>
    <row r="23" spans="1:4" ht="14" x14ac:dyDescent="0.3">
      <c r="A23" s="43" t="s">
        <v>62</v>
      </c>
      <c r="B23" s="40"/>
      <c r="C23" s="41"/>
      <c r="D23" s="41"/>
    </row>
    <row r="25" spans="1:4" ht="14" x14ac:dyDescent="0.3">
      <c r="A25" s="17" t="s">
        <v>3</v>
      </c>
      <c r="B25" s="16" t="s">
        <v>4</v>
      </c>
      <c r="C25" s="16">
        <v>2022</v>
      </c>
      <c r="D25" s="16" t="s">
        <v>75</v>
      </c>
    </row>
    <row r="26" spans="1:4" x14ac:dyDescent="0.25">
      <c r="A26" s="5" t="s">
        <v>6</v>
      </c>
      <c r="B26" s="5" t="s">
        <v>7</v>
      </c>
      <c r="C26" s="11">
        <f>C17*'8. CPI'!$F$19</f>
        <v>17.411487847500002</v>
      </c>
      <c r="D26" s="11">
        <f>D17*'8. CPI'!$F$19</f>
        <v>17.50481883926901</v>
      </c>
    </row>
    <row r="27" spans="1:4" x14ac:dyDescent="0.25">
      <c r="A27" s="5" t="s">
        <v>8</v>
      </c>
      <c r="B27" s="5" t="s">
        <v>7</v>
      </c>
      <c r="C27" s="11">
        <f>C18*'8. CPI'!$F$19</f>
        <v>0.49610072999999999</v>
      </c>
      <c r="D27" s="11">
        <f>D18*'8. CPI'!$F$19</f>
        <v>0.49610091185067667</v>
      </c>
    </row>
    <row r="28" spans="1:4" x14ac:dyDescent="0.25">
      <c r="A28" s="5" t="s">
        <v>9</v>
      </c>
      <c r="B28" s="5" t="s">
        <v>7</v>
      </c>
      <c r="C28" s="11">
        <f>C19*'8. CPI'!$F$19</f>
        <v>0.95130001500000017</v>
      </c>
      <c r="D28" s="11">
        <f>D19*'8. CPI'!$F$19</f>
        <v>1.0725363365933858</v>
      </c>
    </row>
    <row r="29" spans="1:4" x14ac:dyDescent="0.25">
      <c r="A29" s="5" t="s">
        <v>10</v>
      </c>
      <c r="B29" s="5" t="s">
        <v>7</v>
      </c>
      <c r="C29" s="11">
        <f>C20*'8. CPI'!$F$19</f>
        <v>0.55320158249999996</v>
      </c>
      <c r="D29" s="11">
        <f>D20*'8. CPI'!$F$19</f>
        <v>0.55320123065624993</v>
      </c>
    </row>
    <row r="30" spans="1:4" x14ac:dyDescent="0.25">
      <c r="A30" s="5" t="s">
        <v>11</v>
      </c>
      <c r="B30" s="5" t="s">
        <v>7</v>
      </c>
      <c r="C30" s="11">
        <f>C21*'8. CPI'!$F$19</f>
        <v>7.9089064425000002</v>
      </c>
      <c r="D30" s="11">
        <f>D21*'8. CPI'!$F$19</f>
        <v>7.9084050000000001</v>
      </c>
    </row>
    <row r="31" spans="1:4" ht="14" x14ac:dyDescent="0.3">
      <c r="A31" s="6" t="s">
        <v>12</v>
      </c>
      <c r="B31" s="6" t="s">
        <v>7</v>
      </c>
      <c r="C31" s="29">
        <f>SUM(C26:C30)</f>
        <v>27.320996617500004</v>
      </c>
      <c r="D31" s="29">
        <f>SUM(D26:D30)</f>
        <v>27.53506231836932</v>
      </c>
    </row>
    <row r="33" spans="7:7" x14ac:dyDescent="0.25">
      <c r="G33" s="5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E880-62F2-4BFF-A29D-4DFF2B4F6A1C}">
  <sheetPr>
    <tabColor rgb="FFFFF5CD"/>
  </sheetPr>
  <dimension ref="A13:C26"/>
  <sheetViews>
    <sheetView showGridLines="0" zoomScale="175" zoomScaleNormal="175" workbookViewId="0">
      <selection activeCell="A20" sqref="A20"/>
    </sheetView>
  </sheetViews>
  <sheetFormatPr defaultColWidth="8.7265625" defaultRowHeight="13.5" x14ac:dyDescent="0.25"/>
  <cols>
    <col min="1" max="1" width="34.81640625" style="1" customWidth="1"/>
    <col min="2" max="2" width="8.26953125" style="33" bestFit="1" customWidth="1"/>
    <col min="3" max="3" width="10.54296875" style="1" customWidth="1"/>
    <col min="4" max="16384" width="8.7265625" style="1"/>
  </cols>
  <sheetData>
    <row r="13" spans="1:3" ht="14" thickBot="1" x14ac:dyDescent="0.3"/>
    <row r="14" spans="1:3" ht="18.5" thickTop="1" thickBot="1" x14ac:dyDescent="0.3">
      <c r="A14" s="27" t="s">
        <v>17</v>
      </c>
      <c r="B14" s="34"/>
      <c r="C14" s="27"/>
    </row>
    <row r="15" spans="1:3" customFormat="1" ht="15" thickTop="1" x14ac:dyDescent="0.35">
      <c r="A15" s="30" t="s">
        <v>2</v>
      </c>
      <c r="B15" s="35"/>
    </row>
    <row r="17" spans="1:3" ht="14" x14ac:dyDescent="0.3">
      <c r="A17" s="18" t="s">
        <v>18</v>
      </c>
      <c r="B17" s="16" t="s">
        <v>4</v>
      </c>
      <c r="C17" s="16" t="s">
        <v>56</v>
      </c>
    </row>
    <row r="18" spans="1:3" x14ac:dyDescent="0.25">
      <c r="A18" s="5" t="s">
        <v>19</v>
      </c>
      <c r="B18" s="36" t="s">
        <v>7</v>
      </c>
      <c r="C18" s="54">
        <f>'2. NGI Demand Adjustment'!D31</f>
        <v>27.53506231836932</v>
      </c>
    </row>
    <row r="19" spans="1:3" x14ac:dyDescent="0.25">
      <c r="A19" s="10" t="s">
        <v>20</v>
      </c>
      <c r="B19" s="37"/>
      <c r="C19" s="54"/>
    </row>
    <row r="20" spans="1:3" x14ac:dyDescent="0.25">
      <c r="A20" s="5" t="s">
        <v>43</v>
      </c>
      <c r="B20" s="36" t="s">
        <v>7</v>
      </c>
      <c r="C20" s="54">
        <f>0.725*'8. CPI'!F19</f>
        <v>0.7558125</v>
      </c>
    </row>
    <row r="21" spans="1:3" x14ac:dyDescent="0.25">
      <c r="A21" s="13" t="s">
        <v>73</v>
      </c>
      <c r="B21" s="36"/>
      <c r="C21" s="54"/>
    </row>
    <row r="22" spans="1:3" x14ac:dyDescent="0.25">
      <c r="A22" s="5" t="s">
        <v>22</v>
      </c>
      <c r="B22" s="36" t="s">
        <v>7</v>
      </c>
      <c r="C22" s="54">
        <f>0.568759*'8. CPI'!F19</f>
        <v>0.59293125749999998</v>
      </c>
    </row>
    <row r="23" spans="1:3" x14ac:dyDescent="0.25">
      <c r="A23" s="5" t="s">
        <v>72</v>
      </c>
      <c r="B23" s="36" t="s">
        <v>7</v>
      </c>
      <c r="C23" s="54">
        <f>0.269839*'8. CPI'!F19</f>
        <v>0.28130715750000002</v>
      </c>
    </row>
    <row r="24" spans="1:3" x14ac:dyDescent="0.25">
      <c r="A24" s="5" t="s">
        <v>79</v>
      </c>
      <c r="B24" s="36" t="s">
        <v>7</v>
      </c>
      <c r="C24" s="54">
        <f>1.013*'8. CPI'!F19</f>
        <v>1.0560524999999998</v>
      </c>
    </row>
    <row r="25" spans="1:3" x14ac:dyDescent="0.25">
      <c r="A25" s="5" t="s">
        <v>80</v>
      </c>
      <c r="B25" s="36" t="s">
        <v>7</v>
      </c>
      <c r="C25" s="54">
        <f>1.281*'8. CPI'!F19</f>
        <v>1.3354424999999999</v>
      </c>
    </row>
    <row r="26" spans="1:3" ht="14" x14ac:dyDescent="0.3">
      <c r="A26" s="6" t="s">
        <v>18</v>
      </c>
      <c r="B26" s="38" t="s">
        <v>7</v>
      </c>
      <c r="C26" s="55">
        <f>C18-C20-C22-C23-C24-C25</f>
        <v>23.513516403369323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1704-ECB4-4147-84AE-885A636CB36C}">
  <sheetPr>
    <tabColor rgb="FFFFF5CD"/>
  </sheetPr>
  <dimension ref="A13:I51"/>
  <sheetViews>
    <sheetView showGridLines="0" zoomScale="115" zoomScaleNormal="115" workbookViewId="0"/>
  </sheetViews>
  <sheetFormatPr defaultColWidth="8.7265625" defaultRowHeight="13.5" x14ac:dyDescent="0.25"/>
  <cols>
    <col min="1" max="1" width="39.81640625" style="1" customWidth="1"/>
    <col min="2" max="2" width="11.81640625" style="1" customWidth="1"/>
    <col min="3" max="3" width="13" style="1" customWidth="1"/>
    <col min="4" max="4" width="13.54296875" style="1" customWidth="1"/>
    <col min="5" max="5" width="9.7265625" style="1" customWidth="1"/>
    <col min="6" max="6" width="9.81640625" style="1" customWidth="1"/>
    <col min="7" max="7" width="10.26953125" style="1" customWidth="1"/>
    <col min="8" max="10" width="8.7265625" style="1"/>
    <col min="11" max="11" width="45.26953125" style="1" bestFit="1" customWidth="1"/>
    <col min="12" max="12" width="11.54296875" style="1" customWidth="1"/>
    <col min="13" max="13" width="10.08984375" style="1" customWidth="1"/>
    <col min="14" max="16384" width="8.7265625" style="1"/>
  </cols>
  <sheetData>
    <row r="13" spans="1:9" ht="14" thickBot="1" x14ac:dyDescent="0.3"/>
    <row r="14" spans="1:9" ht="18.5" thickTop="1" thickBot="1" x14ac:dyDescent="0.3">
      <c r="A14" s="27" t="s">
        <v>23</v>
      </c>
      <c r="B14" s="27"/>
      <c r="C14" s="27"/>
      <c r="D14" s="27"/>
      <c r="E14" s="27"/>
      <c r="F14" s="27"/>
      <c r="G14" s="27"/>
      <c r="H14" s="27"/>
      <c r="I14" s="27"/>
    </row>
    <row r="15" spans="1:9" customFormat="1" ht="15" thickTop="1" x14ac:dyDescent="0.35">
      <c r="A15" s="30" t="s">
        <v>2</v>
      </c>
    </row>
    <row r="17" spans="1:9" ht="31" customHeight="1" x14ac:dyDescent="0.25">
      <c r="A17" s="14" t="s">
        <v>24</v>
      </c>
      <c r="B17" s="15" t="s">
        <v>25</v>
      </c>
      <c r="C17" s="15" t="s">
        <v>53</v>
      </c>
      <c r="D17" s="15" t="s">
        <v>54</v>
      </c>
      <c r="E17" s="15" t="s">
        <v>55</v>
      </c>
      <c r="F17" s="15" t="s">
        <v>26</v>
      </c>
    </row>
    <row r="18" spans="1:9" ht="14" x14ac:dyDescent="0.25">
      <c r="A18" s="5" t="s">
        <v>27</v>
      </c>
      <c r="B18" s="8">
        <v>0.04</v>
      </c>
      <c r="C18" s="8">
        <v>3.7499999999999999E-2</v>
      </c>
      <c r="D18" s="8">
        <v>3.2500000000000001E-2</v>
      </c>
      <c r="E18" s="8">
        <v>0.03</v>
      </c>
      <c r="F18" s="9">
        <f>AVERAGE(B18:E18)</f>
        <v>3.5000000000000003E-2</v>
      </c>
    </row>
    <row r="19" spans="1:9" ht="14" x14ac:dyDescent="0.25">
      <c r="A19" s="7" t="s">
        <v>28</v>
      </c>
      <c r="B19" s="8">
        <v>3.5000000000000003E-2</v>
      </c>
      <c r="C19" s="8">
        <v>2.75E-2</v>
      </c>
      <c r="D19" s="8">
        <v>2.5000000000000001E-2</v>
      </c>
      <c r="E19" s="8">
        <v>2.5000000000000001E-2</v>
      </c>
      <c r="F19" s="9">
        <f>AVERAGE(B19:E19)</f>
        <v>2.8124999999999997E-2</v>
      </c>
    </row>
    <row r="20" spans="1:9" ht="14" x14ac:dyDescent="0.3">
      <c r="A20" s="6" t="s">
        <v>29</v>
      </c>
      <c r="B20" s="67"/>
      <c r="C20" s="67"/>
      <c r="D20" s="67"/>
      <c r="E20" s="67"/>
      <c r="F20" s="9">
        <f>(((1+F18)/(1+F19))-1)</f>
        <v>6.6869300911853724E-3</v>
      </c>
    </row>
    <row r="21" spans="1:9" ht="14" x14ac:dyDescent="0.3">
      <c r="A21" s="43" t="s">
        <v>52</v>
      </c>
      <c r="B21" s="44"/>
      <c r="C21" s="44"/>
      <c r="D21" s="44"/>
      <c r="E21" s="45"/>
      <c r="F21" s="40"/>
    </row>
    <row r="23" spans="1:9" ht="18" customHeight="1" x14ac:dyDescent="0.25">
      <c r="A23" s="14" t="s">
        <v>30</v>
      </c>
      <c r="B23" s="15">
        <v>2022</v>
      </c>
      <c r="C23" s="15">
        <v>2023</v>
      </c>
      <c r="D23" s="15">
        <v>2024</v>
      </c>
      <c r="E23" s="15">
        <v>2025</v>
      </c>
      <c r="F23" s="15">
        <v>2026</v>
      </c>
      <c r="G23" s="15">
        <v>2027</v>
      </c>
      <c r="H23" s="15">
        <v>2028</v>
      </c>
      <c r="I23" s="15">
        <v>2029</v>
      </c>
    </row>
    <row r="24" spans="1:9" x14ac:dyDescent="0.25">
      <c r="A24" s="5" t="s">
        <v>31</v>
      </c>
      <c r="B24" s="8">
        <f t="shared" ref="B24:I24" si="0">$F$20</f>
        <v>6.6869300911853724E-3</v>
      </c>
      <c r="C24" s="8">
        <f t="shared" si="0"/>
        <v>6.6869300911853724E-3</v>
      </c>
      <c r="D24" s="8">
        <f t="shared" si="0"/>
        <v>6.6869300911853724E-3</v>
      </c>
      <c r="E24" s="8">
        <f t="shared" si="0"/>
        <v>6.6869300911853724E-3</v>
      </c>
      <c r="F24" s="8">
        <f t="shared" si="0"/>
        <v>6.6869300911853724E-3</v>
      </c>
      <c r="G24" s="8">
        <f t="shared" si="0"/>
        <v>6.6869300911853724E-3</v>
      </c>
      <c r="H24" s="8">
        <f t="shared" si="0"/>
        <v>6.6869300911853724E-3</v>
      </c>
      <c r="I24" s="8">
        <f t="shared" si="0"/>
        <v>6.6869300911853724E-3</v>
      </c>
    </row>
    <row r="25" spans="1:9" x14ac:dyDescent="0.25">
      <c r="A25" s="7" t="s">
        <v>32</v>
      </c>
      <c r="B25" s="11">
        <v>1</v>
      </c>
      <c r="C25" s="11">
        <f>B25*(1+C24)</f>
        <v>1.0066869300911854</v>
      </c>
      <c r="D25" s="11">
        <f>C25*(1+D24)</f>
        <v>1.0134185752164151</v>
      </c>
      <c r="E25" s="11">
        <f>D25*(1+E24)</f>
        <v>1.020195234381996</v>
      </c>
      <c r="F25" s="11">
        <f t="shared" ref="F25:I25" si="1">E25*(1+F24)</f>
        <v>1.0270172085936689</v>
      </c>
      <c r="G25" s="11">
        <f t="shared" si="1"/>
        <v>1.033884800869979</v>
      </c>
      <c r="H25" s="11">
        <f t="shared" si="1"/>
        <v>1.0407983162557357</v>
      </c>
      <c r="I25" s="11">
        <f t="shared" si="1"/>
        <v>1.0477580618355613</v>
      </c>
    </row>
    <row r="27" spans="1:9" ht="28" x14ac:dyDescent="0.3">
      <c r="A27" s="14" t="s">
        <v>33</v>
      </c>
      <c r="B27" s="26">
        <v>2022</v>
      </c>
      <c r="C27" s="19" t="s">
        <v>13</v>
      </c>
      <c r="D27" s="19" t="s">
        <v>14</v>
      </c>
    </row>
    <row r="28" spans="1:9" ht="40.5" x14ac:dyDescent="0.25">
      <c r="A28" s="22" t="s">
        <v>34</v>
      </c>
      <c r="B28" s="54">
        <f>0.154871*'8. CPI'!F19</f>
        <v>0.16145301750000002</v>
      </c>
      <c r="C28" s="21" t="s">
        <v>16</v>
      </c>
      <c r="D28" s="21" t="s">
        <v>9</v>
      </c>
    </row>
    <row r="29" spans="1:9" ht="27" x14ac:dyDescent="0.25">
      <c r="A29" s="20" t="s">
        <v>35</v>
      </c>
      <c r="B29" s="54">
        <f>13.546969*'8. CPI'!F19</f>
        <v>14.1227151825</v>
      </c>
      <c r="C29" s="23" t="s">
        <v>36</v>
      </c>
      <c r="D29" s="23" t="s">
        <v>37</v>
      </c>
    </row>
    <row r="30" spans="1:9" ht="27" x14ac:dyDescent="0.25">
      <c r="A30" s="20" t="s">
        <v>38</v>
      </c>
      <c r="B30" s="54">
        <f>0.475876*'8. CPI'!F19</f>
        <v>0.49610072999999999</v>
      </c>
      <c r="C30" s="23" t="s">
        <v>36</v>
      </c>
      <c r="D30" s="23" t="s">
        <v>21</v>
      </c>
    </row>
    <row r="31" spans="1:9" ht="40.5" x14ac:dyDescent="0.25">
      <c r="A31" s="20" t="s">
        <v>39</v>
      </c>
      <c r="B31" s="54">
        <f>0.0356*'8. CPI'!F19</f>
        <v>3.7113E-2</v>
      </c>
      <c r="C31" s="23" t="s">
        <v>15</v>
      </c>
      <c r="D31" s="23" t="s">
        <v>37</v>
      </c>
    </row>
    <row r="32" spans="1:9" ht="14" x14ac:dyDescent="0.3">
      <c r="A32" s="6" t="s">
        <v>5</v>
      </c>
      <c r="B32" s="29">
        <f>SUM(B28:B31)</f>
        <v>14.81738193</v>
      </c>
      <c r="C32" s="24"/>
      <c r="D32" s="24"/>
    </row>
    <row r="33" spans="1:7" ht="14" x14ac:dyDescent="0.3">
      <c r="A33" s="6" t="s">
        <v>40</v>
      </c>
      <c r="B33" s="25">
        <f>B32/'3. Base year'!C18</f>
        <v>0.53812777899961239</v>
      </c>
      <c r="C33" s="24"/>
      <c r="D33" s="24"/>
    </row>
    <row r="35" spans="1:7" ht="14" x14ac:dyDescent="0.3">
      <c r="A35" s="17" t="s">
        <v>50</v>
      </c>
      <c r="B35" s="16">
        <v>2025</v>
      </c>
      <c r="C35" s="16">
        <v>2026</v>
      </c>
      <c r="D35" s="16">
        <v>2027</v>
      </c>
      <c r="E35" s="16">
        <v>2028</v>
      </c>
      <c r="F35" s="16">
        <v>2029</v>
      </c>
      <c r="G35" s="16" t="s">
        <v>5</v>
      </c>
    </row>
    <row r="36" spans="1:7" ht="14" x14ac:dyDescent="0.3">
      <c r="A36" s="5" t="s">
        <v>6</v>
      </c>
      <c r="B36" s="11">
        <f>$B$29+$B$31</f>
        <v>14.1598281825</v>
      </c>
      <c r="C36" s="11">
        <f t="shared" ref="C36:F36" si="2">$B$29+$B$31</f>
        <v>14.1598281825</v>
      </c>
      <c r="D36" s="11">
        <f t="shared" si="2"/>
        <v>14.1598281825</v>
      </c>
      <c r="E36" s="11">
        <f t="shared" si="2"/>
        <v>14.1598281825</v>
      </c>
      <c r="F36" s="11">
        <f t="shared" si="2"/>
        <v>14.1598281825</v>
      </c>
      <c r="G36" s="12">
        <f>SUM(B36:F36)</f>
        <v>70.799140912500008</v>
      </c>
    </row>
    <row r="37" spans="1:7" ht="14" x14ac:dyDescent="0.3">
      <c r="A37" s="5" t="s">
        <v>8</v>
      </c>
      <c r="B37" s="11">
        <f>$B$30</f>
        <v>0.49610072999999999</v>
      </c>
      <c r="C37" s="11">
        <f t="shared" ref="C37:F37" si="3">$B$30</f>
        <v>0.49610072999999999</v>
      </c>
      <c r="D37" s="11">
        <f t="shared" si="3"/>
        <v>0.49610072999999999</v>
      </c>
      <c r="E37" s="11">
        <f t="shared" si="3"/>
        <v>0.49610072999999999</v>
      </c>
      <c r="F37" s="11">
        <f t="shared" si="3"/>
        <v>0.49610072999999999</v>
      </c>
      <c r="G37" s="12">
        <f t="shared" ref="G37:G40" si="4">SUM(B37:F37)</f>
        <v>2.4805036500000002</v>
      </c>
    </row>
    <row r="38" spans="1:7" ht="14" x14ac:dyDescent="0.3">
      <c r="A38" s="5" t="s">
        <v>9</v>
      </c>
      <c r="B38" s="11">
        <f>$B$28</f>
        <v>0.16145301750000002</v>
      </c>
      <c r="C38" s="11">
        <f t="shared" ref="C38:F38" si="5">$B$28</f>
        <v>0.16145301750000002</v>
      </c>
      <c r="D38" s="11">
        <f t="shared" si="5"/>
        <v>0.16145301750000002</v>
      </c>
      <c r="E38" s="11">
        <f t="shared" si="5"/>
        <v>0.16145301750000002</v>
      </c>
      <c r="F38" s="11">
        <f t="shared" si="5"/>
        <v>0.16145301750000002</v>
      </c>
      <c r="G38" s="12">
        <f t="shared" si="4"/>
        <v>0.80726508750000003</v>
      </c>
    </row>
    <row r="39" spans="1:7" ht="14" x14ac:dyDescent="0.3">
      <c r="A39" s="5" t="s">
        <v>10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2">
        <f t="shared" si="4"/>
        <v>0</v>
      </c>
    </row>
    <row r="40" spans="1:7" ht="14" x14ac:dyDescent="0.3">
      <c r="A40" s="5" t="s">
        <v>11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2">
        <f t="shared" si="4"/>
        <v>0</v>
      </c>
    </row>
    <row r="41" spans="1:7" ht="14" x14ac:dyDescent="0.3">
      <c r="A41" s="6" t="s">
        <v>5</v>
      </c>
      <c r="B41" s="29">
        <f>SUM(B36:B40)</f>
        <v>14.81738193</v>
      </c>
      <c r="C41" s="29">
        <f t="shared" ref="C41:F41" si="6">SUM(C36:C40)</f>
        <v>14.81738193</v>
      </c>
      <c r="D41" s="29">
        <f t="shared" si="6"/>
        <v>14.81738193</v>
      </c>
      <c r="E41" s="29">
        <f t="shared" si="6"/>
        <v>14.81738193</v>
      </c>
      <c r="F41" s="29">
        <f t="shared" si="6"/>
        <v>14.81738193</v>
      </c>
      <c r="G41" s="29">
        <f>SUM(G36:G40)</f>
        <v>74.08690965000001</v>
      </c>
    </row>
    <row r="43" spans="1:7" ht="14" x14ac:dyDescent="0.25">
      <c r="A43" s="14" t="s">
        <v>44</v>
      </c>
      <c r="B43" s="26">
        <v>2025</v>
      </c>
      <c r="C43" s="26">
        <v>2026</v>
      </c>
      <c r="D43" s="26">
        <v>2027</v>
      </c>
      <c r="E43" s="26">
        <v>2028</v>
      </c>
      <c r="F43" s="26">
        <v>2029</v>
      </c>
      <c r="G43" s="26" t="s">
        <v>5</v>
      </c>
    </row>
    <row r="44" spans="1:7" ht="14" x14ac:dyDescent="0.3">
      <c r="A44" s="5" t="s">
        <v>6</v>
      </c>
      <c r="B44" s="11">
        <f>B36*(E$25-1)</f>
        <v>0.2859610489543799</v>
      </c>
      <c r="C44" s="11">
        <f>C36*(F$25-1)</f>
        <v>0.38255903165711341</v>
      </c>
      <c r="D44" s="11">
        <f>D36*(G$25-1)</f>
        <v>0.47980295831712955</v>
      </c>
      <c r="E44" s="11">
        <f>E36*(H$25-1)</f>
        <v>0.57769714831651442</v>
      </c>
      <c r="F44" s="11">
        <f>F36*(I$25-1)</f>
        <v>0.6762459499207587</v>
      </c>
      <c r="G44" s="12">
        <f>SUM(B44:F44)</f>
        <v>2.402266137165896</v>
      </c>
    </row>
    <row r="45" spans="1:7" ht="14" x14ac:dyDescent="0.3">
      <c r="A45" s="5" t="s">
        <v>8</v>
      </c>
      <c r="B45" s="11">
        <f t="shared" ref="B45:B48" si="7">B37*(E$25-1)</f>
        <v>1.0018870519429313E-2</v>
      </c>
      <c r="C45" s="11">
        <f t="shared" ref="C45:F48" si="8">C37*(F$25-1)</f>
        <v>1.340325690588139E-2</v>
      </c>
      <c r="D45" s="11">
        <f t="shared" si="8"/>
        <v>1.6810274447501231E-2</v>
      </c>
      <c r="E45" s="11">
        <f t="shared" si="8"/>
        <v>2.0240074477241354E-2</v>
      </c>
      <c r="F45" s="11">
        <f t="shared" si="8"/>
        <v>2.3692809340007105E-2</v>
      </c>
      <c r="G45" s="12">
        <f t="shared" ref="G45:G48" si="9">SUM(B45:F45)</f>
        <v>8.416528569006039E-2</v>
      </c>
    </row>
    <row r="46" spans="1:7" ht="14" x14ac:dyDescent="0.3">
      <c r="A46" s="5" t="s">
        <v>9</v>
      </c>
      <c r="B46" s="11">
        <f t="shared" si="7"/>
        <v>3.2605815300930019E-3</v>
      </c>
      <c r="C46" s="11">
        <f t="shared" si="8"/>
        <v>4.3620098518747678E-3</v>
      </c>
      <c r="D46" s="11">
        <f t="shared" si="8"/>
        <v>5.4708033478447398E-3</v>
      </c>
      <c r="E46" s="11">
        <f t="shared" si="8"/>
        <v>6.5870112684078327E-3</v>
      </c>
      <c r="F46" s="11">
        <f t="shared" si="8"/>
        <v>7.7106831933029625E-3</v>
      </c>
      <c r="G46" s="12">
        <f t="shared" si="9"/>
        <v>2.7391089191523308E-2</v>
      </c>
    </row>
    <row r="47" spans="1:7" ht="14" x14ac:dyDescent="0.3">
      <c r="A47" s="5" t="s">
        <v>10</v>
      </c>
      <c r="B47" s="11">
        <f t="shared" si="7"/>
        <v>0</v>
      </c>
      <c r="C47" s="11">
        <f t="shared" si="8"/>
        <v>0</v>
      </c>
      <c r="D47" s="11">
        <f t="shared" si="8"/>
        <v>0</v>
      </c>
      <c r="E47" s="11">
        <f t="shared" si="8"/>
        <v>0</v>
      </c>
      <c r="F47" s="11">
        <f t="shared" si="8"/>
        <v>0</v>
      </c>
      <c r="G47" s="12">
        <f t="shared" si="9"/>
        <v>0</v>
      </c>
    </row>
    <row r="48" spans="1:7" ht="14" x14ac:dyDescent="0.3">
      <c r="A48" s="5" t="s">
        <v>11</v>
      </c>
      <c r="B48" s="11">
        <f t="shared" si="7"/>
        <v>0</v>
      </c>
      <c r="C48" s="11">
        <f t="shared" si="8"/>
        <v>0</v>
      </c>
      <c r="D48" s="11">
        <f t="shared" si="8"/>
        <v>0</v>
      </c>
      <c r="E48" s="11">
        <f t="shared" si="8"/>
        <v>0</v>
      </c>
      <c r="F48" s="11">
        <f t="shared" si="8"/>
        <v>0</v>
      </c>
      <c r="G48" s="12">
        <f t="shared" si="9"/>
        <v>0</v>
      </c>
    </row>
    <row r="49" spans="1:7" ht="14" x14ac:dyDescent="0.3">
      <c r="A49" s="6" t="s">
        <v>5</v>
      </c>
      <c r="B49" s="29">
        <f>SUM(B44:B48)</f>
        <v>0.2992405010039022</v>
      </c>
      <c r="C49" s="29">
        <f t="shared" ref="C49" si="10">SUM(C44:C48)</f>
        <v>0.40032429841486961</v>
      </c>
      <c r="D49" s="29">
        <f>SUM(D44:D48)</f>
        <v>0.50208403611247554</v>
      </c>
      <c r="E49" s="29">
        <f t="shared" ref="E49" si="11">SUM(E44:E48)</f>
        <v>0.60452423406216371</v>
      </c>
      <c r="F49" s="29">
        <f t="shared" ref="F49" si="12">SUM(F44:F48)</f>
        <v>0.70764944245406869</v>
      </c>
      <c r="G49" s="29">
        <f>SUM(G44:G48)</f>
        <v>2.5138225120474798</v>
      </c>
    </row>
    <row r="51" spans="1:7" x14ac:dyDescent="0.25">
      <c r="B51" s="33"/>
      <c r="C51" s="33"/>
      <c r="D51" s="33"/>
    </row>
  </sheetData>
  <mergeCells count="1">
    <mergeCell ref="B20:E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C714-7D00-4CE7-A37A-A233E3B49947}">
  <sheetPr>
    <tabColor rgb="FFFFF5CD"/>
  </sheetPr>
  <dimension ref="A13:H21"/>
  <sheetViews>
    <sheetView showGridLines="0" zoomScale="130" zoomScaleNormal="130" workbookViewId="0">
      <selection activeCell="G34" sqref="G34"/>
    </sheetView>
  </sheetViews>
  <sheetFormatPr defaultColWidth="8.7265625" defaultRowHeight="13.5" x14ac:dyDescent="0.25"/>
  <cols>
    <col min="1" max="1" width="38" style="1" customWidth="1"/>
    <col min="2" max="2" width="7.7265625" style="1" customWidth="1"/>
    <col min="3" max="3" width="11.81640625" style="1" customWidth="1"/>
    <col min="4" max="4" width="10.81640625" style="1" customWidth="1"/>
    <col min="5" max="5" width="11.81640625" style="1" customWidth="1"/>
    <col min="6" max="6" width="9.7265625" style="1" customWidth="1"/>
    <col min="7" max="7" width="9.81640625" style="1" customWidth="1"/>
    <col min="8" max="16384" width="8.7265625" style="1"/>
  </cols>
  <sheetData>
    <row r="13" spans="1:8" ht="14" thickBot="1" x14ac:dyDescent="0.3"/>
    <row r="14" spans="1:8" ht="18.5" thickTop="1" thickBot="1" x14ac:dyDescent="0.3">
      <c r="A14" s="27" t="s">
        <v>51</v>
      </c>
      <c r="B14" s="27"/>
      <c r="C14" s="27"/>
      <c r="D14" s="27"/>
      <c r="E14" s="27"/>
      <c r="F14" s="27"/>
      <c r="G14" s="27"/>
      <c r="H14" s="27"/>
    </row>
    <row r="15" spans="1:8" ht="14" thickTop="1" x14ac:dyDescent="0.25">
      <c r="A15" s="30" t="s">
        <v>2</v>
      </c>
      <c r="B15" s="30"/>
    </row>
    <row r="17" spans="1:8" ht="21" customHeight="1" x14ac:dyDescent="0.25">
      <c r="A17" s="57" t="s">
        <v>68</v>
      </c>
      <c r="B17" s="57" t="s">
        <v>4</v>
      </c>
      <c r="C17" s="26">
        <v>2025</v>
      </c>
      <c r="D17" s="26">
        <v>2026</v>
      </c>
      <c r="E17" s="26">
        <v>2027</v>
      </c>
      <c r="F17" s="26">
        <v>2028</v>
      </c>
      <c r="G17" s="26">
        <v>2029</v>
      </c>
      <c r="H17" s="26" t="s">
        <v>5</v>
      </c>
    </row>
    <row r="18" spans="1:8" ht="14" x14ac:dyDescent="0.25">
      <c r="A18" s="5" t="s">
        <v>82</v>
      </c>
      <c r="B18" s="5" t="s">
        <v>71</v>
      </c>
      <c r="C18" s="64">
        <v>0.55228276332030279</v>
      </c>
      <c r="D18" s="64">
        <v>0.70337030520553012</v>
      </c>
      <c r="E18" s="64">
        <v>0.72502221018640423</v>
      </c>
      <c r="F18" s="64">
        <v>0.72970808701298639</v>
      </c>
      <c r="G18" s="64">
        <v>0.77106309218525315</v>
      </c>
      <c r="H18" s="65">
        <f>SUM(C18:G18)</f>
        <v>3.4814464579104767</v>
      </c>
    </row>
    <row r="19" spans="1:8" ht="14" x14ac:dyDescent="0.25">
      <c r="A19" s="7" t="s">
        <v>69</v>
      </c>
      <c r="B19" s="5" t="s">
        <v>71</v>
      </c>
      <c r="C19" s="64">
        <v>0</v>
      </c>
      <c r="D19" s="64">
        <v>0.184</v>
      </c>
      <c r="E19" s="64">
        <v>0.28000000000000003</v>
      </c>
      <c r="F19" s="64">
        <v>0.85</v>
      </c>
      <c r="G19" s="64">
        <v>0.28000000000000003</v>
      </c>
      <c r="H19" s="65">
        <f>SUM(C19:G19)</f>
        <v>1.5940000000000001</v>
      </c>
    </row>
    <row r="20" spans="1:8" ht="14" x14ac:dyDescent="0.25">
      <c r="A20" s="5" t="s">
        <v>78</v>
      </c>
      <c r="B20" s="5" t="s">
        <v>71</v>
      </c>
      <c r="C20" s="64">
        <f>469291.034315035/1000000</f>
        <v>0.46929103431503499</v>
      </c>
      <c r="D20" s="64">
        <f>427364.134473987/1000000</f>
        <v>0.42736413447398697</v>
      </c>
      <c r="E20" s="64">
        <f>380608.724045268/1000000</f>
        <v>0.38060872404526802</v>
      </c>
      <c r="F20" s="64">
        <f>333680.482247945/1000000</f>
        <v>0.333680482247945</v>
      </c>
      <c r="G20" s="64">
        <f>317531.660976859/1000000</f>
        <v>0.31753166097685898</v>
      </c>
      <c r="H20" s="65">
        <f>SUM(C20:G20)</f>
        <v>1.928476036059094</v>
      </c>
    </row>
    <row r="21" spans="1:8" ht="14" x14ac:dyDescent="0.3">
      <c r="A21" s="6" t="s">
        <v>5</v>
      </c>
      <c r="B21" s="5" t="s">
        <v>71</v>
      </c>
      <c r="C21" s="65">
        <f>SUM(C18:C20)</f>
        <v>1.0215737976353378</v>
      </c>
      <c r="D21" s="65">
        <f t="shared" ref="D21:H21" si="0">SUM(D18:D20)</f>
        <v>1.3147344396795171</v>
      </c>
      <c r="E21" s="65">
        <f t="shared" si="0"/>
        <v>1.3856309342316722</v>
      </c>
      <c r="F21" s="65">
        <f t="shared" si="0"/>
        <v>1.9133885692609311</v>
      </c>
      <c r="G21" s="65">
        <f t="shared" si="0"/>
        <v>1.3685947531621123</v>
      </c>
      <c r="H21" s="65">
        <f t="shared" si="0"/>
        <v>7.0039224939695712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27ADD-9833-49D3-9586-196011157E8C}">
  <sheetPr>
    <tabColor rgb="FFFFF5CD"/>
  </sheetPr>
  <dimension ref="A13:L28"/>
  <sheetViews>
    <sheetView showGridLines="0" zoomScale="115" zoomScaleNormal="115" workbookViewId="0">
      <selection activeCell="A20" sqref="A20"/>
    </sheetView>
  </sheetViews>
  <sheetFormatPr defaultColWidth="8.7265625" defaultRowHeight="13.5" x14ac:dyDescent="0.25"/>
  <cols>
    <col min="1" max="1" width="41" style="1" customWidth="1"/>
    <col min="2" max="2" width="8.26953125" style="1" customWidth="1"/>
    <col min="3" max="7" width="9" style="1" bestFit="1" customWidth="1"/>
    <col min="8" max="8" width="10.1796875" style="1" bestFit="1" customWidth="1"/>
    <col min="9" max="16384" width="8.7265625" style="1"/>
  </cols>
  <sheetData>
    <row r="13" spans="1:8" ht="14" thickBot="1" x14ac:dyDescent="0.3"/>
    <row r="14" spans="1:8" ht="21.65" customHeight="1" thickTop="1" thickBot="1" x14ac:dyDescent="0.3">
      <c r="A14" s="27" t="s">
        <v>41</v>
      </c>
      <c r="B14" s="27"/>
      <c r="C14" s="27"/>
      <c r="D14" s="27"/>
      <c r="E14" s="27"/>
      <c r="F14" s="27"/>
      <c r="G14" s="27"/>
      <c r="H14" s="27"/>
    </row>
    <row r="15" spans="1:8" ht="14" thickTop="1" x14ac:dyDescent="0.25">
      <c r="A15" s="30" t="s">
        <v>2</v>
      </c>
      <c r="B15" s="30"/>
    </row>
    <row r="17" spans="1:12" ht="14" x14ac:dyDescent="0.3">
      <c r="A17" s="17" t="s">
        <v>42</v>
      </c>
      <c r="B17" s="26" t="s">
        <v>4</v>
      </c>
      <c r="C17" s="16">
        <v>2025</v>
      </c>
      <c r="D17" s="16">
        <v>2026</v>
      </c>
      <c r="E17" s="16">
        <v>2027</v>
      </c>
      <c r="F17" s="16">
        <v>2028</v>
      </c>
      <c r="G17" s="16">
        <v>2029</v>
      </c>
      <c r="H17" s="16" t="s">
        <v>5</v>
      </c>
    </row>
    <row r="18" spans="1:12" ht="27" x14ac:dyDescent="0.25">
      <c r="A18" s="22" t="s">
        <v>65</v>
      </c>
      <c r="B18" s="31" t="s">
        <v>7</v>
      </c>
      <c r="C18" s="52">
        <f>'3. Base year'!$C$26</f>
        <v>23.513516403369323</v>
      </c>
      <c r="D18" s="52">
        <f>'3. Base year'!$C$26</f>
        <v>23.513516403369323</v>
      </c>
      <c r="E18" s="52">
        <f>'3. Base year'!$C$26</f>
        <v>23.513516403369323</v>
      </c>
      <c r="F18" s="52">
        <f>'3. Base year'!$C$26</f>
        <v>23.513516403369323</v>
      </c>
      <c r="G18" s="52">
        <f>'3. Base year'!$C$26</f>
        <v>23.513516403369323</v>
      </c>
      <c r="H18" s="53">
        <f>SUM(C18:G18)</f>
        <v>117.56758201684661</v>
      </c>
    </row>
    <row r="19" spans="1:12" x14ac:dyDescent="0.25">
      <c r="A19" s="68" t="s">
        <v>64</v>
      </c>
      <c r="B19" s="69"/>
      <c r="C19" s="69"/>
      <c r="D19" s="69"/>
      <c r="E19" s="69"/>
      <c r="F19" s="69"/>
      <c r="G19" s="69"/>
      <c r="H19" s="70"/>
    </row>
    <row r="20" spans="1:12" ht="14" x14ac:dyDescent="0.25">
      <c r="A20" s="61" t="s">
        <v>43</v>
      </c>
      <c r="B20" s="31" t="s">
        <v>7</v>
      </c>
      <c r="C20" s="52">
        <v>0.68665569551942907</v>
      </c>
      <c r="D20" s="52">
        <v>0.74847141506740711</v>
      </c>
      <c r="E20" s="52">
        <v>0.75849558580491705</v>
      </c>
      <c r="F20" s="52">
        <v>0.75849558580491705</v>
      </c>
      <c r="G20" s="52">
        <v>0.75849558580491705</v>
      </c>
      <c r="H20" s="53">
        <f t="shared" ref="H20" si="0">SUM(C20:G20)</f>
        <v>3.710613868001587</v>
      </c>
    </row>
    <row r="21" spans="1:12" ht="27" x14ac:dyDescent="0.25">
      <c r="A21" s="22" t="s">
        <v>66</v>
      </c>
      <c r="B21" s="31" t="s">
        <v>7</v>
      </c>
      <c r="C21" s="52">
        <f>C18+C20</f>
        <v>24.200172098888753</v>
      </c>
      <c r="D21" s="52">
        <f t="shared" ref="D21:G21" si="1">D18+D20</f>
        <v>24.261987818436729</v>
      </c>
      <c r="E21" s="52">
        <f t="shared" si="1"/>
        <v>24.272011989174239</v>
      </c>
      <c r="F21" s="52">
        <f t="shared" si="1"/>
        <v>24.272011989174239</v>
      </c>
      <c r="G21" s="52">
        <f t="shared" si="1"/>
        <v>24.272011989174239</v>
      </c>
      <c r="H21" s="53">
        <f>H18+H20</f>
        <v>121.2781958848482</v>
      </c>
      <c r="L21" s="49"/>
    </row>
    <row r="22" spans="1:12" ht="14" x14ac:dyDescent="0.25">
      <c r="A22" s="63" t="s">
        <v>70</v>
      </c>
      <c r="B22" s="58"/>
      <c r="C22" s="59"/>
      <c r="D22" s="59"/>
      <c r="E22" s="59"/>
      <c r="F22" s="59"/>
      <c r="G22" s="59"/>
      <c r="H22" s="60"/>
      <c r="L22" s="49"/>
    </row>
    <row r="23" spans="1:12" ht="14" x14ac:dyDescent="0.25">
      <c r="A23" s="22" t="str">
        <f>'5. Step changes'!A18</f>
        <v>Safeguard mechanism initiatives</v>
      </c>
      <c r="B23" s="31" t="s">
        <v>7</v>
      </c>
      <c r="C23" s="52">
        <f>'5. Step changes'!C18</f>
        <v>0.55228276332030279</v>
      </c>
      <c r="D23" s="52">
        <f>'5. Step changes'!D18</f>
        <v>0.70337030520553012</v>
      </c>
      <c r="E23" s="52">
        <f>'5. Step changes'!E18</f>
        <v>0.72502221018640423</v>
      </c>
      <c r="F23" s="52">
        <f>'5. Step changes'!F18</f>
        <v>0.72970808701298639</v>
      </c>
      <c r="G23" s="52">
        <f>'5. Step changes'!G18</f>
        <v>0.77106309218525315</v>
      </c>
      <c r="H23" s="53">
        <f>SUM(C23:G23)</f>
        <v>3.4814464579104767</v>
      </c>
    </row>
    <row r="24" spans="1:12" ht="14" x14ac:dyDescent="0.25">
      <c r="A24" s="22" t="str">
        <f>'5. Step changes'!A19</f>
        <v>AA6 regulatory proposal</v>
      </c>
      <c r="B24" s="31" t="s">
        <v>7</v>
      </c>
      <c r="C24" s="52">
        <f>'5. Step changes'!C19</f>
        <v>0</v>
      </c>
      <c r="D24" s="52">
        <f>'5. Step changes'!D19</f>
        <v>0.184</v>
      </c>
      <c r="E24" s="52">
        <f>'5. Step changes'!E19</f>
        <v>0.28000000000000003</v>
      </c>
      <c r="F24" s="52">
        <f>'5. Step changes'!F19</f>
        <v>0.85</v>
      </c>
      <c r="G24" s="52">
        <f>'5. Step changes'!G19</f>
        <v>0.28000000000000003</v>
      </c>
      <c r="H24" s="53">
        <f>SUM(C24:G24)</f>
        <v>1.5940000000000001</v>
      </c>
    </row>
    <row r="25" spans="1:12" ht="14" x14ac:dyDescent="0.25">
      <c r="A25" s="5" t="s">
        <v>78</v>
      </c>
      <c r="B25" s="31" t="s">
        <v>7</v>
      </c>
      <c r="C25" s="52">
        <f>'5. Step changes'!C20</f>
        <v>0.46929103431503499</v>
      </c>
      <c r="D25" s="52">
        <f>'5. Step changes'!D20</f>
        <v>0.42736413447398697</v>
      </c>
      <c r="E25" s="52">
        <f>'5. Step changes'!E20</f>
        <v>0.38060872404526802</v>
      </c>
      <c r="F25" s="52">
        <f>'5. Step changes'!F20</f>
        <v>0.333680482247945</v>
      </c>
      <c r="G25" s="52">
        <f>'5. Step changes'!G20</f>
        <v>0.31753166097685898</v>
      </c>
      <c r="H25" s="53">
        <f>SUM(C25:G25)</f>
        <v>1.928476036059094</v>
      </c>
    </row>
    <row r="26" spans="1:12" x14ac:dyDescent="0.25">
      <c r="A26" s="68" t="s">
        <v>67</v>
      </c>
      <c r="B26" s="69"/>
      <c r="C26" s="69"/>
      <c r="D26" s="69"/>
      <c r="E26" s="69"/>
      <c r="F26" s="69"/>
      <c r="G26" s="69"/>
      <c r="H26" s="70"/>
    </row>
    <row r="27" spans="1:12" ht="14" x14ac:dyDescent="0.25">
      <c r="A27" s="61" t="s">
        <v>44</v>
      </c>
      <c r="B27" s="31" t="s">
        <v>7</v>
      </c>
      <c r="C27" s="52">
        <f>'4. Escalation'!B49</f>
        <v>0.2992405010039022</v>
      </c>
      <c r="D27" s="52">
        <f>'4. Escalation'!C49</f>
        <v>0.40032429841486961</v>
      </c>
      <c r="E27" s="52">
        <f>'4. Escalation'!D49</f>
        <v>0.50208403611247554</v>
      </c>
      <c r="F27" s="52">
        <f>'4. Escalation'!E49</f>
        <v>0.60452423406216371</v>
      </c>
      <c r="G27" s="52">
        <f>'4. Escalation'!F49</f>
        <v>0.70764944245406869</v>
      </c>
      <c r="H27" s="53">
        <f t="shared" ref="H27" si="2">SUM(C27:G27)</f>
        <v>2.5138225120474798</v>
      </c>
    </row>
    <row r="28" spans="1:12" ht="14" x14ac:dyDescent="0.3">
      <c r="A28" s="6" t="s">
        <v>12</v>
      </c>
      <c r="B28" s="32" t="s">
        <v>7</v>
      </c>
      <c r="C28" s="51">
        <f>C21+C23+C24+C25+C27</f>
        <v>25.520986397527992</v>
      </c>
      <c r="D28" s="51">
        <f t="shared" ref="D28:G28" si="3">D21+D23+D24+D25+D27</f>
        <v>25.977046556531118</v>
      </c>
      <c r="E28" s="51">
        <f t="shared" si="3"/>
        <v>26.159726959518384</v>
      </c>
      <c r="F28" s="51">
        <f t="shared" si="3"/>
        <v>26.789924792497338</v>
      </c>
      <c r="G28" s="51">
        <f t="shared" si="3"/>
        <v>26.348256184790422</v>
      </c>
      <c r="H28" s="51">
        <f>H21+H23+H24+H25+H27</f>
        <v>130.79594089086524</v>
      </c>
    </row>
  </sheetData>
  <mergeCells count="2">
    <mergeCell ref="A19:H19"/>
    <mergeCell ref="A26:H2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5E8B-2514-41ED-8FF8-186F40EB1BCE}">
  <sheetPr>
    <tabColor rgb="FFFFF5CD"/>
  </sheetPr>
  <dimension ref="A13:N28"/>
  <sheetViews>
    <sheetView showGridLines="0" topLeftCell="A6" zoomScale="115" zoomScaleNormal="115" workbookViewId="0">
      <selection activeCell="H33" sqref="H33"/>
    </sheetView>
  </sheetViews>
  <sheetFormatPr defaultColWidth="8.7265625" defaultRowHeight="13.5" x14ac:dyDescent="0.25"/>
  <cols>
    <col min="1" max="1" width="26.453125" style="1" customWidth="1"/>
    <col min="2" max="2" width="9.1796875" style="1" bestFit="1" customWidth="1"/>
    <col min="3" max="6" width="8.81640625" style="1" bestFit="1" customWidth="1"/>
    <col min="7" max="7" width="9.453125" style="1" bestFit="1" customWidth="1"/>
    <col min="8" max="16384" width="8.7265625" style="1"/>
  </cols>
  <sheetData>
    <row r="13" spans="1:12" ht="14" thickBot="1" x14ac:dyDescent="0.3"/>
    <row r="14" spans="1:12" ht="19.5" customHeight="1" thickTop="1" thickBot="1" x14ac:dyDescent="0.4">
      <c r="A14" s="27" t="s">
        <v>45</v>
      </c>
      <c r="B14" s="27"/>
      <c r="C14" s="27"/>
      <c r="D14" s="27"/>
      <c r="E14" s="27"/>
      <c r="F14" s="27"/>
      <c r="G14" s="27"/>
      <c r="H14" s="27"/>
      <c r="I14"/>
      <c r="J14"/>
      <c r="K14"/>
      <c r="L14"/>
    </row>
    <row r="15" spans="1:12" ht="15" thickTop="1" x14ac:dyDescent="0.35">
      <c r="A15" s="30" t="s">
        <v>2</v>
      </c>
      <c r="B15"/>
      <c r="C15"/>
      <c r="D15"/>
      <c r="E15"/>
      <c r="F15"/>
      <c r="G15"/>
      <c r="H15"/>
      <c r="I15"/>
      <c r="J15"/>
      <c r="K15"/>
      <c r="L15"/>
    </row>
    <row r="17" spans="1:14" ht="16.5" customHeight="1" x14ac:dyDescent="0.3">
      <c r="A17" s="17" t="s">
        <v>3</v>
      </c>
      <c r="B17" s="16" t="s">
        <v>4</v>
      </c>
      <c r="C17" s="16">
        <v>2025</v>
      </c>
      <c r="D17" s="16">
        <v>2026</v>
      </c>
      <c r="E17" s="16">
        <v>2027</v>
      </c>
      <c r="F17" s="16">
        <v>2028</v>
      </c>
      <c r="G17" s="16">
        <v>2029</v>
      </c>
      <c r="H17" s="16" t="s">
        <v>5</v>
      </c>
    </row>
    <row r="18" spans="1:14" ht="14" x14ac:dyDescent="0.3">
      <c r="A18" s="5" t="s">
        <v>6</v>
      </c>
      <c r="B18" s="5" t="s">
        <v>7</v>
      </c>
      <c r="C18" s="11">
        <f>'2. NGI Demand Adjustment'!$D$26-'3. Base year'!$C$22-'3. Base year'!$C$24-'3. Base year'!$C$25+'4. Escalation'!B44</f>
        <v>14.806353630723393</v>
      </c>
      <c r="D18" s="11">
        <f>'2. NGI Demand Adjustment'!$D$26-'3. Base year'!$C$22-'3. Base year'!$C$24-'3. Base year'!$C$25+'4. Escalation'!C44</f>
        <v>14.902951613426126</v>
      </c>
      <c r="E18" s="11">
        <f>'2. NGI Demand Adjustment'!$D$26-'3. Base year'!$C$22-'3. Base year'!$C$24-'3. Base year'!$C$25+'4. Escalation'!D44</f>
        <v>15.000195540086143</v>
      </c>
      <c r="F18" s="11">
        <f>'2. NGI Demand Adjustment'!$D$26-'3. Base year'!$C$22-'3. Base year'!$C$24-'3. Base year'!$C$25+'4. Escalation'!E44</f>
        <v>15.098089730085528</v>
      </c>
      <c r="G18" s="11">
        <f>'2. NGI Demand Adjustment'!$D$26-'3. Base year'!$C$22-'3. Base year'!$C$24-'3. Base year'!$C$25+'4. Escalation'!F44</f>
        <v>15.196638531689771</v>
      </c>
      <c r="H18" s="29">
        <f>SUM(C18:G18)</f>
        <v>75.004229046010948</v>
      </c>
    </row>
    <row r="19" spans="1:14" ht="14" x14ac:dyDescent="0.3">
      <c r="A19" s="5" t="s">
        <v>8</v>
      </c>
      <c r="B19" s="5" t="s">
        <v>7</v>
      </c>
      <c r="C19" s="11">
        <f>'2. NGI Demand Adjustment'!$D$27+'4. Escalation'!B45</f>
        <v>0.50611978237010602</v>
      </c>
      <c r="D19" s="11">
        <f>'2. NGI Demand Adjustment'!$D$27+'4. Escalation'!C45</f>
        <v>0.50950416875655802</v>
      </c>
      <c r="E19" s="11">
        <f>'2. NGI Demand Adjustment'!$D$27+'4. Escalation'!D45</f>
        <v>0.51291118629817789</v>
      </c>
      <c r="F19" s="11">
        <f>'2. NGI Demand Adjustment'!$D$27+'4. Escalation'!E45</f>
        <v>0.51634098632791803</v>
      </c>
      <c r="G19" s="11">
        <f>'2. NGI Demand Adjustment'!$D$27+'4. Escalation'!F45</f>
        <v>0.51979372119068379</v>
      </c>
      <c r="H19" s="29">
        <f t="shared" ref="H19:H23" si="0">SUM(C19:G19)</f>
        <v>2.5646698449434435</v>
      </c>
    </row>
    <row r="20" spans="1:14" ht="14" x14ac:dyDescent="0.3">
      <c r="A20" s="5" t="s">
        <v>9</v>
      </c>
      <c r="B20" s="5" t="s">
        <v>7</v>
      </c>
      <c r="C20" s="11">
        <f>'2. NGI Demand Adjustment'!$D$28-'3. Base year'!$C$23+'4. Escalation'!B46+'5. Step changes'!C18</f>
        <v>1.3467725239437816</v>
      </c>
      <c r="D20" s="11">
        <f>'2. NGI Demand Adjustment'!$D$28-'3. Base year'!$C$23+'4. Escalation'!C46+'5. Step changes'!D18</f>
        <v>1.4989614941507905</v>
      </c>
      <c r="E20" s="11">
        <f>'2. NGI Demand Adjustment'!$D$28-'3. Base year'!$C$23+'4. Escalation'!D46+'5. Step changes'!E18</f>
        <v>1.5217221926276348</v>
      </c>
      <c r="F20" s="11">
        <f>'2. NGI Demand Adjustment'!$D$28-'3. Base year'!$C$23+'4. Escalation'!E46+'5. Step changes'!F18</f>
        <v>1.5275242773747801</v>
      </c>
      <c r="G20" s="11">
        <f>'2. NGI Demand Adjustment'!$D$28-'3. Base year'!$C$23+'4. Escalation'!F46+'5. Step changes'!G18</f>
        <v>1.5700029544719418</v>
      </c>
      <c r="H20" s="29">
        <f t="shared" si="0"/>
        <v>7.4649834425689292</v>
      </c>
    </row>
    <row r="21" spans="1:14" ht="14" x14ac:dyDescent="0.3">
      <c r="A21" s="5" t="s">
        <v>10</v>
      </c>
      <c r="B21" s="5" t="s">
        <v>7</v>
      </c>
      <c r="C21" s="11">
        <f>'2. NGI Demand Adjustment'!$D$29+'5. Step changes'!C19</f>
        <v>0.55320123065624993</v>
      </c>
      <c r="D21" s="11">
        <f>'2. NGI Demand Adjustment'!$D$29+'5. Step changes'!D19</f>
        <v>0.73720123065624987</v>
      </c>
      <c r="E21" s="11">
        <f>'2. NGI Demand Adjustment'!$D$29+'5. Step changes'!E19</f>
        <v>0.83320123065624996</v>
      </c>
      <c r="F21" s="11">
        <f>'2. NGI Demand Adjustment'!$D$29+'5. Step changes'!F19</f>
        <v>1.4032012306562498</v>
      </c>
      <c r="G21" s="11">
        <f>'2. NGI Demand Adjustment'!$D$29+'5. Step changes'!G19</f>
        <v>0.83320123065624996</v>
      </c>
      <c r="H21" s="29">
        <f t="shared" si="0"/>
        <v>4.3600061532812493</v>
      </c>
    </row>
    <row r="22" spans="1:14" ht="14" x14ac:dyDescent="0.3">
      <c r="A22" s="5" t="s">
        <v>11</v>
      </c>
      <c r="B22" s="5" t="s">
        <v>7</v>
      </c>
      <c r="C22" s="11">
        <f>'2. NGI Demand Adjustment'!$D$30-'3. Base year'!$C$20+'6. AA5 forecast summary'!C20+'5. Step changes'!C20</f>
        <v>8.308539229834464</v>
      </c>
      <c r="D22" s="11">
        <f>'2. NGI Demand Adjustment'!$D$30-'3. Base year'!$C$20+'6. AA5 forecast summary'!D20+'5. Step changes'!D20</f>
        <v>8.3284280495413938</v>
      </c>
      <c r="E22" s="11">
        <f>'2. NGI Demand Adjustment'!$D$30-'3. Base year'!$C$20+'6. AA5 forecast summary'!E20+'5. Step changes'!E20</f>
        <v>8.2916968098501851</v>
      </c>
      <c r="F22" s="11">
        <f>'2. NGI Demand Adjustment'!$D$30-'3. Base year'!$C$20+'6. AA5 forecast summary'!F20+'5. Step changes'!F20</f>
        <v>8.2447685680528622</v>
      </c>
      <c r="G22" s="11">
        <f>'2. NGI Demand Adjustment'!$D$30-'3. Base year'!$C$20+'6. AA5 forecast summary'!G20+'5. Step changes'!G20</f>
        <v>8.2286197467817761</v>
      </c>
      <c r="H22" s="29">
        <f t="shared" si="0"/>
        <v>41.402052404060683</v>
      </c>
      <c r="L22" s="49"/>
    </row>
    <row r="23" spans="1:14" ht="14" x14ac:dyDescent="0.3">
      <c r="A23" s="6" t="s">
        <v>12</v>
      </c>
      <c r="B23" s="6" t="s">
        <v>7</v>
      </c>
      <c r="C23" s="29">
        <f>SUM(C18:C22)</f>
        <v>25.520986397527992</v>
      </c>
      <c r="D23" s="29">
        <f t="shared" ref="D23:G23" si="1">SUM(D18:D22)</f>
        <v>25.977046556531118</v>
      </c>
      <c r="E23" s="29">
        <f t="shared" si="1"/>
        <v>26.159726959518387</v>
      </c>
      <c r="F23" s="29">
        <f t="shared" si="1"/>
        <v>26.789924792497338</v>
      </c>
      <c r="G23" s="29">
        <f t="shared" si="1"/>
        <v>26.348256184790422</v>
      </c>
      <c r="H23" s="29">
        <f t="shared" si="0"/>
        <v>130.79594089086527</v>
      </c>
      <c r="I23" s="1" t="str">
        <f>IF(H23='6. AA5 forecast summary'!H28,"OK","Check")</f>
        <v>OK</v>
      </c>
      <c r="N23" s="56"/>
    </row>
    <row r="25" spans="1:14" x14ac:dyDescent="0.25">
      <c r="L25" s="48"/>
    </row>
    <row r="28" spans="1:14" x14ac:dyDescent="0.25">
      <c r="L28" s="4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A5EE-0FE0-47EF-8959-C03C23E6D318}">
  <sheetPr>
    <tabColor rgb="FFFFF5CD"/>
  </sheetPr>
  <dimension ref="A13:K21"/>
  <sheetViews>
    <sheetView showGridLines="0" tabSelected="1" zoomScale="115" zoomScaleNormal="115" workbookViewId="0">
      <selection activeCell="G37" sqref="G37"/>
    </sheetView>
  </sheetViews>
  <sheetFormatPr defaultColWidth="8.7265625" defaultRowHeight="13.5" x14ac:dyDescent="0.25"/>
  <cols>
    <col min="1" max="1" width="28.453125" style="1" customWidth="1"/>
    <col min="2" max="2" width="9.1796875" style="1" bestFit="1" customWidth="1"/>
    <col min="3" max="6" width="8.81640625" style="1" bestFit="1" customWidth="1"/>
    <col min="7" max="7" width="9.453125" style="1" bestFit="1" customWidth="1"/>
    <col min="8" max="16384" width="8.7265625" style="1"/>
  </cols>
  <sheetData>
    <row r="13" spans="1:11" ht="14" thickBot="1" x14ac:dyDescent="0.3"/>
    <row r="14" spans="1:11" ht="19.5" customHeight="1" thickTop="1" thickBot="1" x14ac:dyDescent="0.4">
      <c r="A14" s="27" t="s">
        <v>46</v>
      </c>
      <c r="B14" s="27"/>
      <c r="C14" s="27"/>
      <c r="D14" s="27"/>
      <c r="E14" s="27"/>
      <c r="F14" s="27"/>
      <c r="G14" s="27"/>
      <c r="H14"/>
      <c r="I14"/>
      <c r="J14"/>
      <c r="K14"/>
    </row>
    <row r="15" spans="1:11" ht="14" thickTop="1" x14ac:dyDescent="0.25"/>
    <row r="16" spans="1:11" ht="16.5" customHeight="1" x14ac:dyDescent="0.3">
      <c r="A16" s="17"/>
      <c r="B16" s="16">
        <v>2018</v>
      </c>
      <c r="C16" s="16">
        <v>2019</v>
      </c>
      <c r="D16" s="16">
        <v>2020</v>
      </c>
      <c r="E16" s="16">
        <v>2021</v>
      </c>
      <c r="F16" s="16">
        <v>2022</v>
      </c>
      <c r="G16" s="16" t="s">
        <v>76</v>
      </c>
    </row>
    <row r="17" spans="1:7" x14ac:dyDescent="0.25">
      <c r="A17" s="5" t="s">
        <v>48</v>
      </c>
      <c r="B17" s="11">
        <v>114.1</v>
      </c>
      <c r="C17" s="11">
        <v>116.2</v>
      </c>
      <c r="D17" s="11">
        <v>117.2</v>
      </c>
      <c r="E17" s="11">
        <v>121.3</v>
      </c>
      <c r="F17" s="11">
        <v>130.80000000000001</v>
      </c>
      <c r="G17" s="11">
        <f>(G18+1)*F17</f>
        <v>136.35900000000001</v>
      </c>
    </row>
    <row r="18" spans="1:7" x14ac:dyDescent="0.25">
      <c r="A18" s="5" t="s">
        <v>47</v>
      </c>
      <c r="B18" s="39">
        <v>1.7841213202497874E-2</v>
      </c>
      <c r="C18" s="39">
        <f>C17/B17-1</f>
        <v>1.8404907975460238E-2</v>
      </c>
      <c r="D18" s="39">
        <f>D17/C17-1</f>
        <v>8.6058519793459354E-3</v>
      </c>
      <c r="E18" s="39">
        <f>E17/D17-1</f>
        <v>3.4982935153583528E-2</v>
      </c>
      <c r="F18" s="39">
        <f>F17/E17-1</f>
        <v>7.8318219291014124E-2</v>
      </c>
      <c r="G18" s="62">
        <v>4.2500000000000003E-2</v>
      </c>
    </row>
    <row r="19" spans="1:7" ht="14" x14ac:dyDescent="0.3">
      <c r="A19" s="6" t="s">
        <v>81</v>
      </c>
      <c r="B19" s="25">
        <f>$G$17/B17</f>
        <v>1.1950832602979844</v>
      </c>
      <c r="C19" s="25">
        <f t="shared" ref="C19:E19" si="0">$G$17/C17</f>
        <v>1.1734853700516352</v>
      </c>
      <c r="D19" s="25">
        <f t="shared" si="0"/>
        <v>1.1634726962457338</v>
      </c>
      <c r="E19" s="25">
        <f t="shared" si="0"/>
        <v>1.1241467436108823</v>
      </c>
      <c r="F19" s="25">
        <f>$G$17/F17</f>
        <v>1.0425</v>
      </c>
      <c r="G19" s="25">
        <f>$G$17/G17</f>
        <v>1</v>
      </c>
    </row>
    <row r="20" spans="1:7" x14ac:dyDescent="0.25">
      <c r="A20" s="50" t="s">
        <v>63</v>
      </c>
    </row>
    <row r="21" spans="1:7" x14ac:dyDescent="0.25">
      <c r="A21" s="50" t="s">
        <v>77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840557847574E8A2F34BEAF52EB06" ma:contentTypeVersion="16" ma:contentTypeDescription="Create a new document." ma:contentTypeScope="" ma:versionID="171d3d7ba4714804697c7c907862e35b">
  <xsd:schema xmlns:xsd="http://www.w3.org/2001/XMLSchema" xmlns:xs="http://www.w3.org/2001/XMLSchema" xmlns:p="http://schemas.microsoft.com/office/2006/metadata/properties" xmlns:ns2="11cdd4fa-266d-4037-89ac-74561c71e551" xmlns:ns3="74d6daee-f4a7-4732-a98f-e16bcf69aece" targetNamespace="http://schemas.microsoft.com/office/2006/metadata/properties" ma:root="true" ma:fieldsID="9fbb99f91ff5e90d76996f72b65409aa" ns2:_="" ns3:_="">
    <xsd:import namespace="11cdd4fa-266d-4037-89ac-74561c71e551"/>
    <xsd:import namespace="74d6daee-f4a7-4732-a98f-e16bcf69a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dd4fa-266d-4037-89ac-74561c71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eeb581-cbb3-4079-81a4-cc92836bd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6daee-f4a7-4732-a98f-e16bcf69a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5d188-7959-4383-af8d-fe7395181e03}" ma:internalName="TaxCatchAll" ma:showField="CatchAllData" ma:web="74d6daee-f4a7-4732-a98f-e16bcf69a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cdd4fa-266d-4037-89ac-74561c71e551">
      <Terms xmlns="http://schemas.microsoft.com/office/infopath/2007/PartnerControls"/>
    </lcf76f155ced4ddcb4097134ff3c332f>
    <TaxCatchAll xmlns="74d6daee-f4a7-4732-a98f-e16bcf69aece" xsi:nil="true"/>
    <SharedWithUsers xmlns="74d6daee-f4a7-4732-a98f-e16bcf69aece">
      <UserInfo>
        <DisplayName>Matosin, Nives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CB707-EF6A-407A-BD74-4870F4A38938}"/>
</file>

<file path=customXml/itemProps2.xml><?xml version="1.0" encoding="utf-8"?>
<ds:datastoreItem xmlns:ds="http://schemas.openxmlformats.org/officeDocument/2006/customXml" ds:itemID="{5B7671F2-C54C-4C23-8E71-8F0E67B41350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57bab12-2230-4ba5-9c0a-1023524d9930"/>
    <ds:schemaRef ds:uri="http://purl.org/dc/elements/1.1/"/>
    <ds:schemaRef ds:uri="http://schemas.microsoft.com/office/infopath/2007/PartnerControls"/>
    <ds:schemaRef ds:uri="74c04105-76d9-4256-9364-af51479a32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8CA6EB-B29F-44BC-821D-5CE769F0F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1. Historic Opex</vt:lpstr>
      <vt:lpstr>2. NGI Demand Adjustment</vt:lpstr>
      <vt:lpstr>3. Base year</vt:lpstr>
      <vt:lpstr>4. Escalation</vt:lpstr>
      <vt:lpstr>5. Step changes</vt:lpstr>
      <vt:lpstr>6. AA5 forecast summary</vt:lpstr>
      <vt:lpstr>7. Forecast by category</vt:lpstr>
      <vt:lpstr>8. CPI</vt:lpstr>
    </vt:vector>
  </TitlesOfParts>
  <Manager/>
  <Company>APA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McSween, Conor</dc:creator>
  <cp:keywords/>
  <dc:description/>
  <cp:lastModifiedBy>McSween, Conor</cp:lastModifiedBy>
  <cp:revision/>
  <dcterms:created xsi:type="dcterms:W3CDTF">2023-09-06T00:15:11Z</dcterms:created>
  <dcterms:modified xsi:type="dcterms:W3CDTF">2023-12-14T05:37:02Z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0x010100713840557847574E8A2F34BEAF52EB06</vt:lpwstr>
  </property>
  <property fmtid="{D5CDD505-2E9C-101B-9397-08002B2CF9AE}" pid="3" name="MediaServiceImageTags">
    <vt:lpwstr/>
  </property>
  <property fmtid="{D5CDD505-2E9C-101B-9397-08002B2CF9AE}" pid="4" name="MSIP_Label_8e2e509a-f02b-496b-97a8-09ffbb9893ea_Enabled">
    <vt:lpwstr>true</vt:lpwstr>
  </property>
  <property fmtid="{D5CDD505-2E9C-101B-9397-08002B2CF9AE}" pid="5" name="MSIP_Label_8e2e509a-f02b-496b-97a8-09ffbb9893ea_SetDate">
    <vt:lpwstr>2023-09-21T15:41:34Z</vt:lpwstr>
  </property>
  <property fmtid="{D5CDD505-2E9C-101B-9397-08002B2CF9AE}" pid="6" name="MSIP_Label_8e2e509a-f02b-496b-97a8-09ffbb9893ea_Method">
    <vt:lpwstr>Privileged</vt:lpwstr>
  </property>
  <property fmtid="{D5CDD505-2E9C-101B-9397-08002B2CF9AE}" pid="7" name="MSIP_Label_8e2e509a-f02b-496b-97a8-09ffbb9893ea_Name">
    <vt:lpwstr>APA-Internal</vt:lpwstr>
  </property>
  <property fmtid="{D5CDD505-2E9C-101B-9397-08002B2CF9AE}" pid="8" name="MSIP_Label_8e2e509a-f02b-496b-97a8-09ffbb9893ea_SiteId">
    <vt:lpwstr>234ac309-c216-4661-a5ba-18879f6c4c75</vt:lpwstr>
  </property>
  <property fmtid="{D5CDD505-2E9C-101B-9397-08002B2CF9AE}" pid="9" name="MSIP_Label_8e2e509a-f02b-496b-97a8-09ffbb9893ea_ActionId">
    <vt:lpwstr>e0e55cf1-25d2-4fc3-80e9-3d00cf6e6260</vt:lpwstr>
  </property>
  <property fmtid="{D5CDD505-2E9C-101B-9397-08002B2CF9AE}" pid="10" name="MSIP_Label_8e2e509a-f02b-496b-97a8-09ffbb9893ea_ContentBits">
    <vt:lpwstr>0</vt:lpwstr>
  </property>
</Properties>
</file>