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amscloud.sharepoint.com/sites/Goldfields2025-29AccessArrangementproposal/Shared Documents/35. GGT RP Opex/"/>
    </mc:Choice>
  </mc:AlternateContent>
  <xr:revisionPtr revIDLastSave="1739" documentId="8_{7CEA35C4-5485-4922-BE3B-3D0542431F66}" xr6:coauthVersionLast="47" xr6:coauthVersionMax="47" xr10:uidLastSave="{13753669-750A-478B-B0F0-A289C85C2752}"/>
  <bookViews>
    <workbookView xWindow="-14640" yWindow="-24120" windowWidth="57840" windowHeight="23640" xr2:uid="{D499B48E-D629-4133-A012-67740C0550ED}"/>
  </bookViews>
  <sheets>
    <sheet name="Cover" sheetId="1" r:id="rId1"/>
    <sheet name="1. Historic Opex" sheetId="16" r:id="rId2"/>
    <sheet name="2. NGI Demand Adjustment" sheetId="19" r:id="rId3"/>
    <sheet name="3. Corporate adjustment" sheetId="25" r:id="rId4"/>
    <sheet name="4. Base year" sheetId="6" r:id="rId5"/>
    <sheet name="5. Escalation" sheetId="10" r:id="rId6"/>
    <sheet name="6. Step changes" sheetId="11" r:id="rId7"/>
    <sheet name="7. AA5 forecast summary" sheetId="2" r:id="rId8"/>
    <sheet name="8. Forecast by category" sheetId="4" r:id="rId9"/>
    <sheet name="9. CPI" sheetId="20" r:id="rId10"/>
  </sheets>
  <definedNames>
    <definedName name="_xlnm._FilterDatabase" hidden="1">#REF!</definedName>
    <definedName name="anscount" hidden="1">4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e">#REF!</definedName>
    <definedName name="CathodAL">#REF!</definedName>
    <definedName name="CathodTAL">#REF!</definedName>
    <definedName name="ChangeRes2020">#REF!</definedName>
    <definedName name="ChangeRes2021">#REF!</definedName>
    <definedName name="ChangeRes2022">#REF!</definedName>
    <definedName name="ChangeRes2023">#REF!</definedName>
    <definedName name="ChangeRes2024">#REF!</definedName>
    <definedName name="ChangeRes2025">#REF!</definedName>
    <definedName name="ChangeRes2026">#REF!</definedName>
    <definedName name="ChangeRes2027">#REF!</definedName>
    <definedName name="ChangeRes2028">#REF!</definedName>
    <definedName name="ChangeRes2029">#REF!</definedName>
    <definedName name="ChangeThr2020">#REF!</definedName>
    <definedName name="ChangeThr2021">#REF!</definedName>
    <definedName name="ChangeThr2022">#REF!</definedName>
    <definedName name="ChangeThr2023">#REF!</definedName>
    <definedName name="ChangeThr2024">#REF!</definedName>
    <definedName name="ChangeThr2025">#REF!</definedName>
    <definedName name="ChangeThr2026">#REF!</definedName>
    <definedName name="ChangeThr2027">#REF!</definedName>
    <definedName name="ChangeThr2028">#REF!</definedName>
    <definedName name="ChangeThr2029">#REF!</definedName>
    <definedName name="ChangeTol2020">#REF!</definedName>
    <definedName name="ChangeTol2021">#REF!</definedName>
    <definedName name="ChangeTol2022">#REF!</definedName>
    <definedName name="ChangeTol2023">#REF!</definedName>
    <definedName name="ChangeTol2024">#REF!</definedName>
    <definedName name="ChangeTol2025">#REF!</definedName>
    <definedName name="ChangeTol2026">#REF!</definedName>
    <definedName name="ChangeTol2027">#REF!</definedName>
    <definedName name="ChangeTol2028">#REF!</definedName>
    <definedName name="ChangeTol2029">#REF!</definedName>
    <definedName name="CompAL">#REF!</definedName>
    <definedName name="CompTAL">#REF!</definedName>
    <definedName name="CRCP_y1">#REF!</definedName>
    <definedName name="CRCP_y2">#REF!</definedName>
    <definedName name="CRCP_y3">#REF!</definedName>
    <definedName name="CRCP_y4">#REF!</definedName>
    <definedName name="CRCP_y5">#REF!</definedName>
    <definedName name="dms_DollarReal">#REF!</definedName>
    <definedName name="Drp">#REF!</definedName>
    <definedName name="Dv">#REF!</definedName>
    <definedName name="EquityRCAL">#REF!</definedName>
    <definedName name="f">#REF!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RCP_y1">#REF!</definedName>
    <definedName name="FRCP_y10">#REF!</definedName>
    <definedName name="FRCP_y2">#REF!</definedName>
    <definedName name="FRCP_y3">#REF!</definedName>
    <definedName name="FRCP_y4">#REF!</definedName>
    <definedName name="FRCP_y5">#REF!</definedName>
    <definedName name="FRCP_y6">#REF!</definedName>
    <definedName name="FRCP_y7">#REF!</definedName>
    <definedName name="FRCP_y8">#REF!</definedName>
    <definedName name="FRCP_y9">#REF!</definedName>
    <definedName name="G">#REF!</definedName>
    <definedName name="i.AssetClass">#REF!</definedName>
    <definedName name="i.Coverage">#REF!</definedName>
    <definedName name="i.documentation">#REF!</definedName>
    <definedName name="i.IncludeExclude">#REF!</definedName>
    <definedName name="i.Process">#REF!</definedName>
    <definedName name="i.Project">#REF!</definedName>
    <definedName name="i.projectCoveredTotal">#REF!</definedName>
    <definedName name="i.SubProcess">#REF!</definedName>
    <definedName name="InputCPI">#REF!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imcount" hidden="1">2</definedName>
    <definedName name="MainAL">#REF!</definedName>
    <definedName name="MainTAL">#REF!</definedName>
    <definedName name="MaintenAL">#REF!</definedName>
    <definedName name="MaintenTAL">#REF!</definedName>
    <definedName name="Mrp">#REF!</definedName>
    <definedName name="NPVTarget">#REF!</definedName>
    <definedName name="OtherAL">#REF!</definedName>
    <definedName name="OtherTAL">#REF!</definedName>
    <definedName name="PipeAL">#REF!</definedName>
    <definedName name="PipeTAL">#REF!</definedName>
    <definedName name="Recalc_End_Year">#REF!</definedName>
    <definedName name="Recalc_From_Year">#REF!</definedName>
    <definedName name="ReceiptAL">#REF!</definedName>
    <definedName name="ReceiptTAL">#REF!</definedName>
    <definedName name="ResNPV">#REF!</definedName>
    <definedName name="Rf">#REF!</definedName>
    <definedName name="SCADAAL">#REF!</definedName>
    <definedName name="SCADATAL">#REF!</definedName>
    <definedName name="sencount" hidden="1">2</definedName>
    <definedName name="Solver_Input_2_2025">#REF!</definedName>
    <definedName name="Solver_Input_2_2026">#REF!</definedName>
    <definedName name="Solver_Input_2_2027">#REF!</definedName>
    <definedName name="Solver_Input_2_2028">#REF!</definedName>
    <definedName name="Solver_Input_2_2029">#REF!</definedName>
    <definedName name="Sys.AssetClass">#REF!</definedName>
    <definedName name="sys.process">#REF!</definedName>
    <definedName name="Td">#REF!</definedName>
    <definedName name="ThrNPV">#REF!</definedName>
    <definedName name="TolNPV">#REF!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hidden="1">{#N/A,#N/A,FALSE,"MGH income-Support";#N/A,#N/A,FALSE,"MGN balance sheet-Support"}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Y_factor">#REF!</definedName>
    <definedName name="Z_194E5B9A_53B1_414D_85B4_862268EA3FD8_.wvu.Cols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20" i="2"/>
  <c r="I19" i="2"/>
  <c r="D22" i="19"/>
  <c r="D19" i="25"/>
  <c r="C18" i="6"/>
  <c r="C27" i="6"/>
  <c r="D17" i="2"/>
  <c r="E17" i="2"/>
  <c r="F17" i="2"/>
  <c r="G17" i="2"/>
  <c r="H17" i="2"/>
  <c r="J17" i="11"/>
  <c r="C19" i="25"/>
  <c r="C31" i="6"/>
  <c r="C35" i="6"/>
  <c r="C21" i="4"/>
  <c r="G49" i="16"/>
  <c r="C34" i="10"/>
  <c r="C42" i="10"/>
  <c r="C17" i="4"/>
  <c r="G45" i="16"/>
  <c r="C33" i="6"/>
  <c r="C36" i="10"/>
  <c r="C44" i="10"/>
  <c r="C19" i="4"/>
  <c r="G47" i="16"/>
  <c r="C32" i="6"/>
  <c r="C35" i="10"/>
  <c r="C43" i="10"/>
  <c r="C18" i="4"/>
  <c r="G46" i="16"/>
  <c r="C34" i="6"/>
  <c r="C20" i="4"/>
  <c r="G48" i="16"/>
  <c r="G50" i="16"/>
  <c r="F45" i="16"/>
  <c r="F46" i="16"/>
  <c r="F47" i="16"/>
  <c r="F48" i="16"/>
  <c r="F49" i="16"/>
  <c r="F50" i="16"/>
  <c r="C45" i="16"/>
  <c r="C46" i="16"/>
  <c r="C47" i="16"/>
  <c r="C48" i="16"/>
  <c r="C49" i="16"/>
  <c r="C50" i="16"/>
  <c r="D45" i="16"/>
  <c r="D46" i="16"/>
  <c r="D47" i="16"/>
  <c r="D48" i="16"/>
  <c r="D49" i="16"/>
  <c r="D50" i="16"/>
  <c r="E45" i="16"/>
  <c r="E46" i="16"/>
  <c r="E47" i="16"/>
  <c r="E48" i="16"/>
  <c r="E49" i="16"/>
  <c r="E50" i="16"/>
  <c r="H50" i="16"/>
  <c r="D21" i="4"/>
  <c r="D34" i="10"/>
  <c r="D42" i="10"/>
  <c r="D17" i="4"/>
  <c r="D36" i="10"/>
  <c r="D44" i="10"/>
  <c r="D19" i="4"/>
  <c r="D35" i="10"/>
  <c r="D43" i="10"/>
  <c r="D18" i="4"/>
  <c r="D20" i="4"/>
  <c r="D22" i="4"/>
  <c r="E21" i="4"/>
  <c r="E34" i="10"/>
  <c r="E42" i="10"/>
  <c r="E17" i="4"/>
  <c r="E36" i="10"/>
  <c r="E44" i="10"/>
  <c r="E19" i="4"/>
  <c r="E35" i="10"/>
  <c r="E43" i="10"/>
  <c r="E18" i="4"/>
  <c r="E20" i="4"/>
  <c r="E22" i="4"/>
  <c r="F21" i="4"/>
  <c r="F34" i="10"/>
  <c r="F42" i="10"/>
  <c r="F17" i="4"/>
  <c r="F36" i="10"/>
  <c r="F44" i="10"/>
  <c r="F19" i="4"/>
  <c r="F35" i="10"/>
  <c r="F43" i="10"/>
  <c r="F18" i="4"/>
  <c r="F20" i="4"/>
  <c r="F22" i="4"/>
  <c r="G21" i="4"/>
  <c r="G34" i="10"/>
  <c r="G42" i="10"/>
  <c r="G17" i="4"/>
  <c r="G36" i="10"/>
  <c r="G44" i="10"/>
  <c r="G19" i="4"/>
  <c r="G35" i="10"/>
  <c r="G43" i="10"/>
  <c r="G18" i="4"/>
  <c r="G20" i="4"/>
  <c r="G22" i="4"/>
  <c r="H21" i="4"/>
  <c r="H34" i="10"/>
  <c r="H42" i="10"/>
  <c r="H17" i="4"/>
  <c r="H36" i="10"/>
  <c r="H44" i="10"/>
  <c r="H19" i="4"/>
  <c r="H35" i="10"/>
  <c r="H43" i="10"/>
  <c r="H18" i="4"/>
  <c r="H20" i="4"/>
  <c r="H22" i="4"/>
  <c r="I22" i="4"/>
  <c r="D47" i="10"/>
  <c r="D26" i="2"/>
  <c r="E47" i="10"/>
  <c r="E26" i="2"/>
  <c r="F47" i="10"/>
  <c r="F26" i="2"/>
  <c r="G47" i="10"/>
  <c r="G26" i="2"/>
  <c r="H47" i="10"/>
  <c r="H26" i="2"/>
  <c r="I26" i="2"/>
  <c r="I22" i="2"/>
  <c r="I27" i="2"/>
  <c r="J22" i="4"/>
  <c r="G17" i="10"/>
  <c r="G18" i="10"/>
  <c r="G19" i="10"/>
  <c r="C23" i="10"/>
  <c r="C24" i="10"/>
  <c r="C17" i="2"/>
  <c r="D23" i="10"/>
  <c r="D24" i="10"/>
  <c r="E23" i="10"/>
  <c r="E24" i="10"/>
  <c r="F23" i="10"/>
  <c r="F24" i="10"/>
  <c r="G23" i="10"/>
  <c r="G24" i="10"/>
  <c r="H23" i="10"/>
  <c r="H24" i="10"/>
  <c r="D45" i="10"/>
  <c r="E45" i="10"/>
  <c r="F45" i="10"/>
  <c r="G45" i="10"/>
  <c r="H45" i="10"/>
  <c r="C45" i="10"/>
  <c r="E19" i="11"/>
  <c r="F19" i="11"/>
  <c r="G19" i="11"/>
  <c r="H19" i="11"/>
  <c r="I19" i="11"/>
  <c r="D19" i="11"/>
  <c r="C36" i="6"/>
  <c r="D36" i="6"/>
  <c r="I21" i="4"/>
  <c r="J18" i="20"/>
  <c r="K17" i="20"/>
  <c r="P17" i="20"/>
  <c r="C22" i="4"/>
  <c r="C20" i="2"/>
  <c r="C22" i="2"/>
  <c r="C23" i="2"/>
  <c r="C24" i="2"/>
  <c r="C46" i="10"/>
  <c r="C47" i="10"/>
  <c r="C26" i="2"/>
  <c r="C27" i="2"/>
  <c r="D20" i="11"/>
  <c r="I42" i="10"/>
  <c r="I37" i="10"/>
  <c r="I34" i="10"/>
  <c r="C39" i="10"/>
  <c r="I35" i="10"/>
  <c r="I36" i="10"/>
  <c r="I38" i="10"/>
  <c r="I39" i="10"/>
  <c r="C31" i="10"/>
  <c r="C18" i="19"/>
  <c r="C19" i="19"/>
  <c r="C20" i="19"/>
  <c r="C21" i="19"/>
  <c r="C17" i="19"/>
  <c r="H22" i="16"/>
  <c r="H23" i="16"/>
  <c r="C23" i="16"/>
  <c r="G31" i="16"/>
  <c r="D27" i="16"/>
  <c r="E27" i="16"/>
  <c r="F27" i="16"/>
  <c r="G27" i="16"/>
  <c r="D28" i="16"/>
  <c r="E28" i="16"/>
  <c r="F28" i="16"/>
  <c r="G28" i="16"/>
  <c r="D29" i="16"/>
  <c r="E29" i="16"/>
  <c r="F29" i="16"/>
  <c r="G29" i="16"/>
  <c r="D30" i="16"/>
  <c r="E30" i="16"/>
  <c r="F30" i="16"/>
  <c r="G30" i="16"/>
  <c r="D31" i="16"/>
  <c r="E31" i="16"/>
  <c r="F31" i="16"/>
  <c r="C28" i="16"/>
  <c r="C29" i="16"/>
  <c r="C30" i="16"/>
  <c r="C31" i="16"/>
  <c r="C27" i="16"/>
  <c r="J19" i="20"/>
  <c r="I19" i="20"/>
  <c r="H19" i="20"/>
  <c r="G19" i="20"/>
  <c r="F19" i="20"/>
  <c r="E19" i="20"/>
  <c r="D19" i="20"/>
  <c r="C19" i="20"/>
  <c r="B19" i="20"/>
  <c r="I18" i="20"/>
  <c r="H18" i="20"/>
  <c r="G18" i="20"/>
  <c r="F18" i="20"/>
  <c r="E18" i="20"/>
  <c r="D18" i="20"/>
  <c r="C18" i="20"/>
  <c r="L17" i="20"/>
  <c r="L19" i="20"/>
  <c r="M17" i="20"/>
  <c r="K19" i="20"/>
  <c r="N17" i="20"/>
  <c r="M19" i="20"/>
  <c r="O17" i="20"/>
  <c r="N19" i="20"/>
  <c r="P19" i="20"/>
  <c r="O19" i="20"/>
  <c r="F41" i="16"/>
  <c r="D41" i="16"/>
  <c r="E41" i="16"/>
  <c r="H36" i="16"/>
  <c r="G23" i="16"/>
  <c r="I20" i="4"/>
  <c r="J18" i="11"/>
  <c r="F20" i="11"/>
  <c r="G20" i="11"/>
  <c r="H20" i="11"/>
  <c r="I20" i="11"/>
  <c r="E20" i="11"/>
  <c r="E24" i="2"/>
  <c r="F24" i="2"/>
  <c r="G24" i="2"/>
  <c r="H24" i="2"/>
  <c r="D24" i="2"/>
  <c r="J19" i="11"/>
  <c r="J20" i="11"/>
  <c r="D23" i="2"/>
  <c r="E23" i="2"/>
  <c r="F23" i="2"/>
  <c r="G23" i="2"/>
  <c r="H23" i="2"/>
  <c r="I23" i="2"/>
  <c r="E22" i="2"/>
  <c r="F22" i="2"/>
  <c r="G22" i="2"/>
  <c r="H22" i="2"/>
  <c r="D22" i="2"/>
  <c r="A23" i="2"/>
  <c r="A22" i="2"/>
  <c r="F23" i="16"/>
  <c r="E23" i="16"/>
  <c r="D23" i="16"/>
  <c r="H21" i="16"/>
  <c r="H20" i="16"/>
  <c r="H19" i="16"/>
  <c r="H18" i="16"/>
  <c r="E32" i="16"/>
  <c r="H30" i="16"/>
  <c r="F32" i="16"/>
  <c r="H31" i="16"/>
  <c r="H48" i="16"/>
  <c r="H28" i="16"/>
  <c r="G32" i="16"/>
  <c r="D32" i="16"/>
  <c r="C32" i="16"/>
  <c r="H27" i="16"/>
  <c r="H29" i="16"/>
  <c r="G41" i="16"/>
  <c r="H47" i="16"/>
  <c r="H46" i="16"/>
  <c r="H39" i="16"/>
  <c r="I24" i="2"/>
  <c r="H32" i="16"/>
  <c r="E20" i="2"/>
  <c r="G20" i="2"/>
  <c r="F20" i="2"/>
  <c r="H20" i="2"/>
  <c r="F39" i="10"/>
  <c r="D39" i="10"/>
  <c r="G39" i="10"/>
  <c r="E39" i="10"/>
  <c r="H39" i="10"/>
  <c r="H37" i="16"/>
  <c r="H38" i="16"/>
  <c r="H40" i="16"/>
  <c r="C41" i="16"/>
  <c r="H41" i="16"/>
  <c r="C22" i="19"/>
  <c r="H45" i="16"/>
  <c r="H49" i="16"/>
  <c r="D20" i="2"/>
  <c r="E46" i="10"/>
  <c r="D46" i="10"/>
  <c r="D27" i="2"/>
  <c r="F46" i="10"/>
  <c r="E27" i="2"/>
  <c r="G46" i="10"/>
  <c r="I17" i="4"/>
  <c r="F27" i="2"/>
  <c r="G27" i="2"/>
  <c r="H46" i="10"/>
  <c r="I46" i="10"/>
  <c r="I45" i="10"/>
  <c r="I19" i="4"/>
  <c r="I18" i="4"/>
  <c r="I43" i="10"/>
  <c r="H27" i="2"/>
  <c r="I44" i="10"/>
  <c r="I47" i="10"/>
</calcChain>
</file>

<file path=xl/sharedStrings.xml><?xml version="1.0" encoding="utf-8"?>
<sst xmlns="http://schemas.openxmlformats.org/spreadsheetml/2006/main" count="267" uniqueCount="96">
  <si>
    <t>Operating expenditure | Historic</t>
  </si>
  <si>
    <t>Category</t>
  </si>
  <si>
    <t>Unit</t>
  </si>
  <si>
    <t>Total</t>
  </si>
  <si>
    <t>Pipeline operation</t>
  </si>
  <si>
    <t>Major expenditure jobs</t>
  </si>
  <si>
    <t>Commercial operation</t>
  </si>
  <si>
    <t>Regulatory costs</t>
  </si>
  <si>
    <t>Corporate costs</t>
  </si>
  <si>
    <t>Total forecast opex</t>
  </si>
  <si>
    <t>GGT Category</t>
  </si>
  <si>
    <t>Opex category</t>
  </si>
  <si>
    <t>GGT operating costs</t>
  </si>
  <si>
    <t>APA commercial operations</t>
  </si>
  <si>
    <t>Operating expenditure | Base year</t>
  </si>
  <si>
    <t>Base year</t>
  </si>
  <si>
    <t>Remove separately forecast</t>
  </si>
  <si>
    <t>MEJs</t>
  </si>
  <si>
    <t>Operating expenditure | Escalation</t>
  </si>
  <si>
    <t>Labour escalation factor methodology</t>
  </si>
  <si>
    <t>Average</t>
  </si>
  <si>
    <t>WA WPI growth</t>
  </si>
  <si>
    <t>Perth CPI growth</t>
  </si>
  <si>
    <t>Labour escalation factor</t>
  </si>
  <si>
    <t>Labour escalation</t>
  </si>
  <si>
    <t>Labour cost escalator</t>
  </si>
  <si>
    <t>Index</t>
  </si>
  <si>
    <t>Base year labour</t>
  </si>
  <si>
    <t>Administration (contract/temporary staff)</t>
  </si>
  <si>
    <t>Operations (field services)
(contractors O&amp;M)</t>
  </si>
  <si>
    <t>APA operations</t>
  </si>
  <si>
    <t>Pipeline operations</t>
  </si>
  <si>
    <t>MEJs (contractors - engineering)</t>
  </si>
  <si>
    <t>Projects/operations contingency (contractors general)</t>
  </si>
  <si>
    <t>Forecast operating expenditure</t>
  </si>
  <si>
    <t>SoCI</t>
  </si>
  <si>
    <t>Labour cost escalation</t>
  </si>
  <si>
    <t>Operating expenditure | CPI</t>
  </si>
  <si>
    <t>Period End Inflation</t>
  </si>
  <si>
    <t>Period End CPI (December)</t>
  </si>
  <si>
    <t>$m nominal</t>
  </si>
  <si>
    <t>Base year labour cost</t>
  </si>
  <si>
    <t>Operating expenditure summary | Step Changes</t>
  </si>
  <si>
    <t>2025/26 outyear</t>
  </si>
  <si>
    <t>2026/27 outyear</t>
  </si>
  <si>
    <t>Source: ERA, Final Decision on Proposed Revisions to the Goldfields Gas Pipeline Access Arrangement for 2020 to 2024, 19 December 2019, p. 67.</t>
  </si>
  <si>
    <t>AA4 ERA approved operating expenditure</t>
  </si>
  <si>
    <t>GGT actual operating expenditure</t>
  </si>
  <si>
    <t>Source: Auditor-reviewed opex schedules for covered pipeline</t>
  </si>
  <si>
    <t>Add: Separate forecasts</t>
  </si>
  <si>
    <t>Starting: Base year operating expenditure</t>
  </si>
  <si>
    <t>Equals: Baseline forecast operating expenditure</t>
  </si>
  <si>
    <t>Add: Real labour cost escalation</t>
  </si>
  <si>
    <t>Step changes</t>
  </si>
  <si>
    <t>AA6 regulatory proposal</t>
  </si>
  <si>
    <t>Add: Step changes</t>
  </si>
  <si>
    <t>Demand side management</t>
  </si>
  <si>
    <t>Remove non-recurring costs</t>
  </si>
  <si>
    <t>Enterprise resource planning (ERP)</t>
  </si>
  <si>
    <t>APA Operations Management Fee</t>
  </si>
  <si>
    <t>APA Commercial Management Fee</t>
  </si>
  <si>
    <t>Inflation factor - real 2023</t>
  </si>
  <si>
    <t>Safeguard mechanism initiatives</t>
  </si>
  <si>
    <t>Goldfields Gas Pipeline Access Arrangement 2025-29</t>
  </si>
  <si>
    <t>Source:</t>
  </si>
  <si>
    <t>2015-2023: ABS, All Groups CPI, Australia - December</t>
  </si>
  <si>
    <t>2024: RBA Statement of Monetary Policy, August 2024, p. 57:https://www.rba.gov.au/publications/smp/2024/aug/pdf/statement-on-monetary-policy-2024-08.pdf</t>
  </si>
  <si>
    <t>2025-2020: ERA draft decision</t>
  </si>
  <si>
    <t>2023 - NGI</t>
  </si>
  <si>
    <t>2023 opex base year</t>
  </si>
  <si>
    <t>Amount</t>
  </si>
  <si>
    <t>2027/28 outyear</t>
  </si>
  <si>
    <t>2023/24 estimated actual</t>
  </si>
  <si>
    <t>2024/25 budget year</t>
  </si>
  <si>
    <t>Source: Government of Western Australia - Major Economic Aggregates (https://www.wa.gov.au/system/files/2024-05/economic-forecasts.pdf)</t>
  </si>
  <si>
    <t>N/A</t>
  </si>
  <si>
    <t>$m real 2023</t>
  </si>
  <si>
    <t>$m real 2018</t>
  </si>
  <si>
    <t>ERP</t>
  </si>
  <si>
    <t>AA5 costs</t>
  </si>
  <si>
    <t>AA5 Total</t>
  </si>
  <si>
    <t>2024*</t>
  </si>
  <si>
    <t>Notes:</t>
  </si>
  <si>
    <t>* 2024 numbers are forecast not actual</t>
  </si>
  <si>
    <t>Corporate costs (excluding transformation)</t>
  </si>
  <si>
    <t>Base year by category</t>
  </si>
  <si>
    <t>Base year - after adjustments</t>
  </si>
  <si>
    <t>Transformation forecast - base year</t>
  </si>
  <si>
    <t>SoCI cyber</t>
  </si>
  <si>
    <t>Operating expenditure | Forecast by category</t>
  </si>
  <si>
    <t>Operating expenditure | AA5 Forecast</t>
  </si>
  <si>
    <t>Operating expenditure | NGI demand adjustment</t>
  </si>
  <si>
    <t>2023 adjustment</t>
  </si>
  <si>
    <t>Operating expenditure | Corporate cost adjustment</t>
  </si>
  <si>
    <t>Revised Proposal - Operating Expenditure Model (Public)</t>
  </si>
  <si>
    <t>Attachment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</si>
</sst>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%"/>
    <numFmt numFmtId="167" formatCode="[$-C09]d\ mmmm\ yyyy;@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rgb="FF007300"/>
      <name val="Century Gothic"/>
      <family val="2"/>
    </font>
    <font>
      <b/>
      <sz val="22"/>
      <color rgb="FF007300"/>
      <name val="Century Gothic"/>
      <family val="2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rgb="FF007300"/>
      <name val="Century Gothic"/>
      <family val="2"/>
    </font>
    <font>
      <i/>
      <sz val="10"/>
      <color theme="1"/>
      <name val="Century Gothic"/>
      <family val="2"/>
    </font>
    <font>
      <sz val="9"/>
      <color rgb="FF007300"/>
      <name val="Century Gothic"/>
      <family val="2"/>
    </font>
    <font>
      <b/>
      <sz val="9"/>
      <color rgb="FF007300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0073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7300"/>
      </top>
      <bottom style="thick">
        <color rgb="FF007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5" applyNumberFormat="0" applyFill="0" applyProtection="0">
      <alignment vertical="center"/>
    </xf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5" xfId="3">
      <alignment vertical="center"/>
    </xf>
    <xf numFmtId="0" fontId="7" fillId="0" borderId="5" xfId="3" applyFont="1">
      <alignment vertical="center"/>
    </xf>
    <xf numFmtId="0" fontId="1" fillId="0" borderId="0" xfId="0" applyFont="1" applyAlignment="1">
      <alignment horizontal="center"/>
    </xf>
    <xf numFmtId="0" fontId="6" fillId="0" borderId="5" xfId="3" applyAlignment="1">
      <alignment horizontal="center" vertical="center"/>
    </xf>
    <xf numFmtId="9" fontId="1" fillId="0" borderId="0" xfId="2" applyFont="1"/>
    <xf numFmtId="166" fontId="1" fillId="0" borderId="0" xfId="2" applyNumberFormat="1" applyFont="1"/>
    <xf numFmtId="164" fontId="1" fillId="0" borderId="0" xfId="0" applyNumberFormat="1" applyFont="1"/>
    <xf numFmtId="167" fontId="4" fillId="0" borderId="0" xfId="0" applyNumberFormat="1" applyFont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1" fillId="3" borderId="0" xfId="0" applyFont="1" applyFill="1"/>
    <xf numFmtId="0" fontId="12" fillId="3" borderId="0" xfId="0" applyFont="1" applyFill="1"/>
    <xf numFmtId="0" fontId="10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10" fillId="0" borderId="0" xfId="0" applyNumberFormat="1" applyFont="1"/>
    <xf numFmtId="0" fontId="13" fillId="0" borderId="0" xfId="0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Border="1" applyAlignment="1">
      <alignment horizontal="left" indent="1"/>
    </xf>
    <xf numFmtId="164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0" fontId="9" fillId="0" borderId="0" xfId="2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10" fontId="10" fillId="0" borderId="1" xfId="4" applyNumberFormat="1" applyFont="1" applyBorder="1" applyAlignment="1">
      <alignment horizontal="center"/>
    </xf>
    <xf numFmtId="9" fontId="9" fillId="0" borderId="1" xfId="4" applyFont="1" applyBorder="1" applyAlignment="1">
      <alignment horizontal="center"/>
    </xf>
    <xf numFmtId="0" fontId="13" fillId="0" borderId="0" xfId="0" applyFont="1" applyAlignment="1">
      <alignment horizontal="left" indent="1"/>
    </xf>
    <xf numFmtId="0" fontId="10" fillId="0" borderId="1" xfId="0" applyFont="1" applyFill="1" applyBorder="1"/>
    <xf numFmtId="0" fontId="15" fillId="0" borderId="0" xfId="0" applyFont="1" applyFill="1"/>
    <xf numFmtId="0" fontId="16" fillId="0" borderId="0" xfId="0" applyFont="1" applyFill="1"/>
    <xf numFmtId="164" fontId="1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2" applyNumberFormat="1" applyFont="1"/>
    <xf numFmtId="168" fontId="1" fillId="0" borderId="0" xfId="0" applyNumberFormat="1" applyFont="1"/>
    <xf numFmtId="0" fontId="17" fillId="0" borderId="0" xfId="0" applyFont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168" fontId="10" fillId="0" borderId="1" xfId="1" applyNumberFormat="1" applyFont="1" applyFill="1" applyBorder="1" applyAlignment="1">
      <alignment horizontal="center" vertical="center"/>
    </xf>
    <xf numFmtId="168" fontId="9" fillId="0" borderId="1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horizontal="left" vertical="center" wrapText="1" indent="1"/>
    </xf>
    <xf numFmtId="165" fontId="10" fillId="0" borderId="1" xfId="0" applyNumberFormat="1" applyFont="1" applyBorder="1"/>
    <xf numFmtId="165" fontId="9" fillId="0" borderId="1" xfId="0" applyNumberFormat="1" applyFont="1" applyBorder="1"/>
    <xf numFmtId="164" fontId="18" fillId="0" borderId="1" xfId="0" applyNumberFormat="1" applyFont="1" applyFill="1" applyBorder="1" applyAlignment="1">
      <alignment horizontal="center"/>
    </xf>
    <xf numFmtId="165" fontId="14" fillId="0" borderId="2" xfId="0" applyNumberFormat="1" applyFont="1" applyBorder="1" applyAlignment="1">
      <alignment horizontal="left" vertical="center" indent="1"/>
    </xf>
    <xf numFmtId="165" fontId="14" fillId="0" borderId="3" xfId="0" applyNumberFormat="1" applyFont="1" applyBorder="1" applyAlignment="1">
      <alignment horizontal="left" vertical="center" indent="1"/>
    </xf>
    <xf numFmtId="165" fontId="14" fillId="0" borderId="4" xfId="0" applyNumberFormat="1" applyFont="1" applyBorder="1" applyAlignment="1">
      <alignment horizontal="left" vertical="center" indent="1"/>
    </xf>
    <xf numFmtId="10" fontId="9" fillId="0" borderId="4" xfId="2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10" fontId="10" fillId="0" borderId="6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10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64" fontId="18" fillId="4" borderId="1" xfId="1" applyNumberFormat="1" applyFont="1" applyFill="1" applyBorder="1" applyAlignment="1">
      <alignment horizontal="center" vertical="center"/>
    </xf>
    <xf numFmtId="164" fontId="19" fillId="4" borderId="1" xfId="1" applyNumberFormat="1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4" fontId="19" fillId="4" borderId="1" xfId="0" applyNumberFormat="1" applyFont="1" applyFill="1" applyBorder="1" applyAlignment="1">
      <alignment horizontal="center"/>
    </xf>
    <xf numFmtId="165" fontId="19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Per cent" xfId="2" builtinId="5"/>
    <cellStyle name="Per cent 2" xfId="4" xr:uid="{FAFC3941-EC90-4E3C-8716-AC4504275B38}"/>
    <cellStyle name="Title" xfId="3" builtinId="15" customBuiltin="1"/>
  </cellStyles>
  <dxfs count="0"/>
  <tableStyles count="0" defaultTableStyle="TableStyleMedium2" defaultPivotStyle="PivotStyleLight16"/>
  <colors>
    <mruColors>
      <color rgb="FF007300"/>
      <color rgb="FFFFCC00"/>
      <color rgb="FFFFF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44452</xdr:rowOff>
    </xdr:from>
    <xdr:to>
      <xdr:col>7</xdr:col>
      <xdr:colOff>314325</xdr:colOff>
      <xdr:row>42</xdr:row>
      <xdr:rowOff>28575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AC6329A7-E4BF-4777-8464-2F82E82BB1FA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15902"/>
          <a:ext cx="5638800" cy="7010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62E5532A-C125-45B3-A196-AF2204CF01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501775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20D89168-5E27-4C7D-9623-D1A00DFE5E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424948BB-F337-481D-B7CF-DACEAA842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9ACAA54B-A1BF-493E-94DB-192F78F2FC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7B6BFAF1-96D1-472D-861D-CC897A601D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B6D6CA53-D3CB-4231-AB82-C6F69CAAB0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B88669DB-B164-4604-851C-41BB53C071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EA89AC05-812C-4A64-8328-E621F3FD1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504950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 descr="GGT logo">
          <a:extLst>
            <a:ext uri="{FF2B5EF4-FFF2-40B4-BE49-F238E27FC236}">
              <a16:creationId xmlns:a16="http://schemas.microsoft.com/office/drawing/2014/main" id="{1E1BF09D-EDB7-46D9-98CE-4B69CF5B9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0457-7186-4F58-92DB-6CFC02FCB22D}">
  <dimension ref="B45:K50"/>
  <sheetViews>
    <sheetView showGridLines="0" tabSelected="1" zoomScale="70" zoomScaleNormal="70" workbookViewId="0">
      <selection activeCell="B49" sqref="B49"/>
    </sheetView>
  </sheetViews>
  <sheetFormatPr defaultColWidth="8.7265625" defaultRowHeight="13.5" x14ac:dyDescent="0.25"/>
  <cols>
    <col min="1" max="1" width="5.1796875" style="1" customWidth="1"/>
    <col min="2" max="2" width="30.453125" style="1" bestFit="1" customWidth="1"/>
    <col min="3" max="16384" width="8.7265625" style="1"/>
  </cols>
  <sheetData>
    <row r="45" spans="2:11" ht="17.149999999999999" customHeight="1" thickBot="1" x14ac:dyDescent="0.3"/>
    <row r="46" spans="2:11" ht="50.5" customHeight="1" thickTop="1" thickBot="1" x14ac:dyDescent="0.3">
      <c r="B46" s="5" t="s">
        <v>63</v>
      </c>
      <c r="C46" s="4"/>
      <c r="D46" s="4"/>
      <c r="E46" s="4"/>
      <c r="F46" s="4"/>
      <c r="G46" s="4"/>
      <c r="H46" s="4"/>
      <c r="I46" s="4"/>
      <c r="J46" s="4"/>
      <c r="K46" s="4"/>
    </row>
    <row r="47" spans="2:11" ht="28.5" customHeight="1" thickTop="1" x14ac:dyDescent="0.5">
      <c r="B47" s="3"/>
    </row>
    <row r="48" spans="2:11" ht="28.5" customHeight="1" x14ac:dyDescent="0.4">
      <c r="B48" s="11" t="s">
        <v>95</v>
      </c>
    </row>
    <row r="49" spans="2:2" ht="19.5" x14ac:dyDescent="0.35">
      <c r="B49" s="2" t="s">
        <v>94</v>
      </c>
    </row>
    <row r="50" spans="2:2" ht="20.5" x14ac:dyDescent="0.4">
      <c r="B50" s="11">
        <v>45540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16E0-E22E-41A7-A1D5-30B0E925CC3F}">
  <dimension ref="A13:S28"/>
  <sheetViews>
    <sheetView showGridLines="0" zoomScale="130" zoomScaleNormal="130" workbookViewId="0">
      <selection activeCell="F38" sqref="F38"/>
    </sheetView>
  </sheetViews>
  <sheetFormatPr defaultColWidth="8.7265625" defaultRowHeight="13.5" x14ac:dyDescent="0.25"/>
  <cols>
    <col min="1" max="1" width="28.453125" style="1" customWidth="1"/>
    <col min="2" max="4" width="8.81640625" style="1" bestFit="1" customWidth="1"/>
    <col min="5" max="5" width="9.453125" style="1" bestFit="1" customWidth="1"/>
    <col min="6" max="10" width="8.7265625" style="1"/>
    <col min="11" max="11" width="9.1796875" style="1" bestFit="1" customWidth="1"/>
    <col min="12" max="16384" width="8.7265625" style="1"/>
  </cols>
  <sheetData>
    <row r="13" spans="1:19" ht="14" thickBot="1" x14ac:dyDescent="0.3"/>
    <row r="14" spans="1:19" ht="19.5" customHeight="1" thickTop="1" thickBot="1" x14ac:dyDescent="0.3">
      <c r="A14" s="4" t="s">
        <v>37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9" ht="14" thickTop="1" x14ac:dyDescent="0.25"/>
    <row r="16" spans="1:19" ht="16.5" customHeight="1" x14ac:dyDescent="0.25">
      <c r="A16" s="21"/>
      <c r="B16" s="22">
        <v>2015</v>
      </c>
      <c r="C16" s="22">
        <v>2016</v>
      </c>
      <c r="D16" s="22">
        <v>2017</v>
      </c>
      <c r="E16" s="22">
        <v>2018</v>
      </c>
      <c r="F16" s="22">
        <v>2019</v>
      </c>
      <c r="G16" s="22">
        <v>2020</v>
      </c>
      <c r="H16" s="22">
        <v>2021</v>
      </c>
      <c r="I16" s="22">
        <v>2022</v>
      </c>
      <c r="J16" s="22">
        <v>2023</v>
      </c>
      <c r="K16" s="22">
        <v>2024</v>
      </c>
      <c r="L16" s="22">
        <v>2025</v>
      </c>
      <c r="M16" s="22">
        <v>2026</v>
      </c>
      <c r="N16" s="22">
        <v>2027</v>
      </c>
      <c r="O16" s="22">
        <v>2028</v>
      </c>
      <c r="P16" s="22">
        <v>2029</v>
      </c>
      <c r="Q16" s="20"/>
      <c r="R16" s="20"/>
      <c r="S16" s="20"/>
    </row>
    <row r="17" spans="1:19" x14ac:dyDescent="0.25">
      <c r="A17" s="12" t="s">
        <v>39</v>
      </c>
      <c r="B17" s="14">
        <v>108.4</v>
      </c>
      <c r="C17" s="14">
        <v>110</v>
      </c>
      <c r="D17" s="14">
        <v>112.1</v>
      </c>
      <c r="E17" s="14">
        <v>114.1</v>
      </c>
      <c r="F17" s="14">
        <v>116.2</v>
      </c>
      <c r="G17" s="14">
        <v>117.2</v>
      </c>
      <c r="H17" s="14">
        <v>121.3</v>
      </c>
      <c r="I17" s="14">
        <v>130.80000000000001</v>
      </c>
      <c r="J17" s="14">
        <v>136.1</v>
      </c>
      <c r="K17" s="14">
        <f>(1+K18)*J17</f>
        <v>140.18299999999999</v>
      </c>
      <c r="L17" s="14">
        <f t="shared" ref="L17:N17" si="0">(1+L18)*K17</f>
        <v>143.70159329999998</v>
      </c>
      <c r="M17" s="14">
        <f t="shared" si="0"/>
        <v>147.30850329182996</v>
      </c>
      <c r="N17" s="14">
        <f t="shared" si="0"/>
        <v>151.00594672445487</v>
      </c>
      <c r="O17" s="14">
        <f>(1+O18)*N17</f>
        <v>154.79619598723866</v>
      </c>
      <c r="P17" s="14">
        <f>(1+P18)*O17</f>
        <v>158.68158050651834</v>
      </c>
      <c r="Q17" s="20"/>
      <c r="R17" s="20"/>
      <c r="S17" s="20"/>
    </row>
    <row r="18" spans="1:19" x14ac:dyDescent="0.25">
      <c r="A18" s="12" t="s">
        <v>38</v>
      </c>
      <c r="B18" s="58">
        <v>1.6885553470919357E-2</v>
      </c>
      <c r="C18" s="58">
        <f t="shared" ref="C18:I18" si="1">C17/B17-1</f>
        <v>1.4760147601476037E-2</v>
      </c>
      <c r="D18" s="58">
        <f t="shared" si="1"/>
        <v>1.9090909090909047E-2</v>
      </c>
      <c r="E18" s="58">
        <f t="shared" si="1"/>
        <v>1.7841213202497874E-2</v>
      </c>
      <c r="F18" s="58">
        <f t="shared" si="1"/>
        <v>1.8404907975460238E-2</v>
      </c>
      <c r="G18" s="58">
        <f t="shared" si="1"/>
        <v>8.6058519793459354E-3</v>
      </c>
      <c r="H18" s="58">
        <f t="shared" si="1"/>
        <v>3.4982935153583528E-2</v>
      </c>
      <c r="I18" s="58">
        <f t="shared" si="1"/>
        <v>7.8318219291014124E-2</v>
      </c>
      <c r="J18" s="58">
        <f>J17/I17-1</f>
        <v>4.0519877675840865E-2</v>
      </c>
      <c r="K18" s="58">
        <v>0.03</v>
      </c>
      <c r="L18" s="58">
        <v>2.5100000000000001E-2</v>
      </c>
      <c r="M18" s="58">
        <v>2.5100000000000001E-2</v>
      </c>
      <c r="N18" s="58">
        <v>2.5100000000000001E-2</v>
      </c>
      <c r="O18" s="58">
        <v>2.5100000000000001E-2</v>
      </c>
      <c r="P18" s="58">
        <v>2.5100000000000001E-2</v>
      </c>
      <c r="Q18" s="20"/>
      <c r="R18" s="20"/>
      <c r="S18" s="20"/>
    </row>
    <row r="19" spans="1:19" x14ac:dyDescent="0.25">
      <c r="A19" s="15" t="s">
        <v>61</v>
      </c>
      <c r="B19" s="59">
        <f t="shared" ref="B19:D19" si="2">$J$17/B17</f>
        <v>1.2555350553505533</v>
      </c>
      <c r="C19" s="59">
        <f t="shared" si="2"/>
        <v>1.2372727272727273</v>
      </c>
      <c r="D19" s="59">
        <f t="shared" si="2"/>
        <v>1.2140945584299732</v>
      </c>
      <c r="E19" s="59">
        <f>$J$17/E17</f>
        <v>1.1928133216476775</v>
      </c>
      <c r="F19" s="59">
        <f t="shared" ref="F19:H19" si="3">$J$17/F17</f>
        <v>1.1712564543889845</v>
      </c>
      <c r="G19" s="59">
        <f t="shared" si="3"/>
        <v>1.1612627986348123</v>
      </c>
      <c r="H19" s="59">
        <f t="shared" si="3"/>
        <v>1.1220115416323166</v>
      </c>
      <c r="I19" s="59">
        <f>$J$17/I17</f>
        <v>1.0405198776758409</v>
      </c>
      <c r="J19" s="59">
        <f>$J$17/J17</f>
        <v>1</v>
      </c>
      <c r="K19" s="59">
        <f t="shared" ref="K19:O19" si="4">$J$17/K17</f>
        <v>0.970873786407767</v>
      </c>
      <c r="L19" s="59">
        <f t="shared" si="4"/>
        <v>0.94710153780876705</v>
      </c>
      <c r="M19" s="59">
        <f t="shared" si="4"/>
        <v>0.92391136260732332</v>
      </c>
      <c r="N19" s="59">
        <f t="shared" si="4"/>
        <v>0.90128900849412097</v>
      </c>
      <c r="O19" s="59">
        <f t="shared" si="4"/>
        <v>0.87922057213356863</v>
      </c>
      <c r="P19" s="59">
        <f>$J$17/P17</f>
        <v>0.85769249061903097</v>
      </c>
      <c r="Q19" s="20"/>
      <c r="R19" s="20"/>
      <c r="S19" s="20"/>
    </row>
    <row r="20" spans="1:19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5">
      <c r="A21" s="24" t="s">
        <v>64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x14ac:dyDescent="0.25">
      <c r="A22" s="60" t="s">
        <v>65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x14ac:dyDescent="0.25">
      <c r="A23" s="60" t="s">
        <v>66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x14ac:dyDescent="0.25">
      <c r="A24" s="60" t="s">
        <v>67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7FFA-4A10-4A74-8954-BAC1FFBE1BF7}">
  <dimension ref="A13:M54"/>
  <sheetViews>
    <sheetView showGridLines="0" zoomScale="115" zoomScaleNormal="115" workbookViewId="0">
      <selection activeCell="C57" sqref="C57"/>
    </sheetView>
  </sheetViews>
  <sheetFormatPr defaultColWidth="8.7265625" defaultRowHeight="13.5" x14ac:dyDescent="0.25"/>
  <cols>
    <col min="1" max="1" width="26.453125" style="1" customWidth="1"/>
    <col min="2" max="2" width="12.36328125" style="1" bestFit="1" customWidth="1"/>
    <col min="3" max="3" width="11.26953125" style="1" bestFit="1" customWidth="1"/>
    <col min="4" max="6" width="8.81640625" style="1" bestFit="1" customWidth="1"/>
    <col min="7" max="7" width="9.453125" style="1" bestFit="1" customWidth="1"/>
    <col min="8" max="16384" width="8.7265625" style="1"/>
  </cols>
  <sheetData>
    <row r="13" spans="1:13" ht="14" thickBot="1" x14ac:dyDescent="0.3"/>
    <row r="14" spans="1:13" ht="19.5" customHeight="1" thickTop="1" thickBot="1" x14ac:dyDescent="0.4">
      <c r="A14" s="4" t="s">
        <v>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/>
    </row>
    <row r="15" spans="1:13" ht="14" thickTop="1" x14ac:dyDescent="0.25"/>
    <row r="16" spans="1:13" x14ac:dyDescent="0.25">
      <c r="A16" s="18" t="s">
        <v>46</v>
      </c>
      <c r="B16" s="19"/>
      <c r="C16" s="19"/>
      <c r="D16" s="19"/>
      <c r="E16" s="19"/>
      <c r="F16" s="19"/>
      <c r="G16" s="19"/>
      <c r="H16" s="19"/>
      <c r="I16" s="20"/>
      <c r="J16" s="20"/>
      <c r="K16" s="20"/>
      <c r="L16" s="20"/>
      <c r="M16" s="20"/>
    </row>
    <row r="17" spans="1:13" x14ac:dyDescent="0.25">
      <c r="A17" s="21" t="s">
        <v>1</v>
      </c>
      <c r="B17" s="22" t="s">
        <v>2</v>
      </c>
      <c r="C17" s="22">
        <v>2020</v>
      </c>
      <c r="D17" s="22">
        <v>2021</v>
      </c>
      <c r="E17" s="22">
        <v>2022</v>
      </c>
      <c r="F17" s="22">
        <v>2023</v>
      </c>
      <c r="G17" s="22">
        <v>2024</v>
      </c>
      <c r="H17" s="22" t="s">
        <v>3</v>
      </c>
      <c r="I17" s="20"/>
      <c r="J17" s="20"/>
      <c r="K17" s="20"/>
      <c r="L17" s="20"/>
      <c r="M17" s="20"/>
    </row>
    <row r="18" spans="1:13" x14ac:dyDescent="0.25">
      <c r="A18" s="12" t="s">
        <v>4</v>
      </c>
      <c r="B18" s="12" t="s">
        <v>77</v>
      </c>
      <c r="C18" s="14">
        <v>12.222</v>
      </c>
      <c r="D18" s="14">
        <v>12.268000000000001</v>
      </c>
      <c r="E18" s="14">
        <v>12.318</v>
      </c>
      <c r="F18" s="14">
        <v>12.358000000000001</v>
      </c>
      <c r="G18" s="14">
        <v>12.411</v>
      </c>
      <c r="H18" s="17">
        <f>SUM(C18:G18)</f>
        <v>61.576999999999998</v>
      </c>
      <c r="I18" s="20"/>
      <c r="J18" s="20"/>
      <c r="K18" s="20"/>
      <c r="L18" s="23"/>
      <c r="M18" s="20"/>
    </row>
    <row r="19" spans="1:13" x14ac:dyDescent="0.25">
      <c r="A19" s="12" t="s">
        <v>5</v>
      </c>
      <c r="B19" s="12" t="s">
        <v>77</v>
      </c>
      <c r="C19" s="14">
        <v>0.56000000000000005</v>
      </c>
      <c r="D19" s="14">
        <v>0.48</v>
      </c>
      <c r="E19" s="14">
        <v>0.67</v>
      </c>
      <c r="F19" s="14">
        <v>0.2</v>
      </c>
      <c r="G19" s="14">
        <v>0.5</v>
      </c>
      <c r="H19" s="17">
        <f t="shared" ref="H19:H21" si="0">SUM(C19:G19)</f>
        <v>2.41</v>
      </c>
      <c r="I19" s="20"/>
      <c r="J19" s="20"/>
      <c r="K19" s="20"/>
      <c r="L19" s="23"/>
      <c r="M19" s="20"/>
    </row>
    <row r="20" spans="1:13" x14ac:dyDescent="0.25">
      <c r="A20" s="12" t="s">
        <v>6</v>
      </c>
      <c r="B20" s="12" t="s">
        <v>77</v>
      </c>
      <c r="C20" s="14">
        <v>0.61499999999999999</v>
      </c>
      <c r="D20" s="14">
        <v>0.61699999999999999</v>
      </c>
      <c r="E20" s="14">
        <v>0.61899999999999999</v>
      </c>
      <c r="F20" s="14">
        <v>0.621</v>
      </c>
      <c r="G20" s="14">
        <v>0.624</v>
      </c>
      <c r="H20" s="17">
        <f t="shared" si="0"/>
        <v>3.0960000000000001</v>
      </c>
      <c r="I20" s="20"/>
      <c r="J20" s="20"/>
      <c r="K20" s="20"/>
      <c r="L20" s="23"/>
      <c r="M20" s="20"/>
    </row>
    <row r="21" spans="1:13" x14ac:dyDescent="0.25">
      <c r="A21" s="12" t="s">
        <v>7</v>
      </c>
      <c r="B21" s="12" t="s">
        <v>77</v>
      </c>
      <c r="C21" s="14">
        <v>0.68200000000000005</v>
      </c>
      <c r="D21" s="14">
        <v>0.68200000000000005</v>
      </c>
      <c r="E21" s="14">
        <v>0.68200000000000005</v>
      </c>
      <c r="F21" s="14">
        <v>0.68200000000000005</v>
      </c>
      <c r="G21" s="14">
        <v>0.68200000000000005</v>
      </c>
      <c r="H21" s="17">
        <f t="shared" si="0"/>
        <v>3.41</v>
      </c>
      <c r="I21" s="20"/>
      <c r="J21" s="20"/>
      <c r="K21" s="20"/>
      <c r="L21" s="23"/>
      <c r="M21" s="20"/>
    </row>
    <row r="22" spans="1:13" x14ac:dyDescent="0.25">
      <c r="A22" s="12" t="s">
        <v>8</v>
      </c>
      <c r="B22" s="12" t="s">
        <v>77</v>
      </c>
      <c r="C22" s="14">
        <v>2.669</v>
      </c>
      <c r="D22" s="14">
        <v>2.669</v>
      </c>
      <c r="E22" s="14">
        <v>2.669</v>
      </c>
      <c r="F22" s="14">
        <v>2.669</v>
      </c>
      <c r="G22" s="14">
        <v>2.669</v>
      </c>
      <c r="H22" s="17">
        <f>SUM(C22:G22)</f>
        <v>13.345000000000001</v>
      </c>
      <c r="I22" s="20"/>
      <c r="J22" s="20"/>
      <c r="K22" s="20"/>
      <c r="L22" s="23"/>
      <c r="M22" s="20"/>
    </row>
    <row r="23" spans="1:13" x14ac:dyDescent="0.25">
      <c r="A23" s="15" t="s">
        <v>9</v>
      </c>
      <c r="B23" s="15" t="s">
        <v>77</v>
      </c>
      <c r="C23" s="17">
        <f>SUM(C18:C22)</f>
        <v>16.748000000000001</v>
      </c>
      <c r="D23" s="17">
        <f>SUM(D18:D22)</f>
        <v>16.716000000000001</v>
      </c>
      <c r="E23" s="17">
        <f t="shared" ref="E23:F23" si="1">SUM(E18:E22)</f>
        <v>16.957999999999998</v>
      </c>
      <c r="F23" s="17">
        <f t="shared" si="1"/>
        <v>16.53</v>
      </c>
      <c r="G23" s="17">
        <f>SUM(G18:G22)</f>
        <v>16.885999999999999</v>
      </c>
      <c r="H23" s="17">
        <f>SUM(C23:G23)</f>
        <v>83.837999999999994</v>
      </c>
      <c r="I23" s="20"/>
      <c r="J23" s="20"/>
      <c r="K23" s="20"/>
      <c r="L23" s="23"/>
      <c r="M23" s="20"/>
    </row>
    <row r="24" spans="1:13" x14ac:dyDescent="0.25">
      <c r="A24" s="24" t="s">
        <v>45</v>
      </c>
      <c r="B24" s="25"/>
      <c r="C24" s="26"/>
      <c r="D24" s="26"/>
      <c r="E24" s="26"/>
      <c r="F24" s="26"/>
      <c r="G24" s="26"/>
      <c r="H24" s="27"/>
      <c r="I24" s="20"/>
      <c r="J24" s="20"/>
      <c r="K24" s="20"/>
      <c r="L24" s="20"/>
      <c r="M24" s="20"/>
    </row>
    <row r="25" spans="1:13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21" t="s">
        <v>1</v>
      </c>
      <c r="B26" s="22" t="s">
        <v>2</v>
      </c>
      <c r="C26" s="22">
        <v>2020</v>
      </c>
      <c r="D26" s="22">
        <v>2021</v>
      </c>
      <c r="E26" s="22">
        <v>2022</v>
      </c>
      <c r="F26" s="22">
        <v>2023</v>
      </c>
      <c r="G26" s="22">
        <v>2024</v>
      </c>
      <c r="H26" s="22" t="s">
        <v>3</v>
      </c>
      <c r="I26" s="20"/>
      <c r="J26" s="20"/>
      <c r="K26" s="20"/>
      <c r="L26" s="20"/>
      <c r="M26" s="20"/>
    </row>
    <row r="27" spans="1:13" x14ac:dyDescent="0.25">
      <c r="A27" s="12" t="s">
        <v>4</v>
      </c>
      <c r="B27" s="12" t="s">
        <v>76</v>
      </c>
      <c r="C27" s="14">
        <f>C18*'9. CPI'!$E$19</f>
        <v>14.578564417177914</v>
      </c>
      <c r="D27" s="14">
        <f>D18*'9. CPI'!$E$19</f>
        <v>14.633433829973708</v>
      </c>
      <c r="E27" s="14">
        <f>E18*'9. CPI'!$E$19</f>
        <v>14.693074496056092</v>
      </c>
      <c r="F27" s="14">
        <f>F18*'9. CPI'!$E$19</f>
        <v>14.740787028922</v>
      </c>
      <c r="G27" s="14">
        <f>G18*'9. CPI'!$E$19</f>
        <v>14.804006134969326</v>
      </c>
      <c r="H27" s="17">
        <f>SUM(C27:G27)</f>
        <v>73.449865907099039</v>
      </c>
      <c r="I27" s="20"/>
      <c r="J27" s="20"/>
      <c r="K27" s="20"/>
      <c r="L27" s="20"/>
      <c r="M27" s="20"/>
    </row>
    <row r="28" spans="1:13" x14ac:dyDescent="0.25">
      <c r="A28" s="12" t="s">
        <v>5</v>
      </c>
      <c r="B28" s="12" t="s">
        <v>76</v>
      </c>
      <c r="C28" s="14">
        <f>C19*'9. CPI'!$E$19</f>
        <v>0.66797546012269948</v>
      </c>
      <c r="D28" s="14">
        <f>D19*'9. CPI'!$E$19</f>
        <v>0.57255039439088518</v>
      </c>
      <c r="E28" s="14">
        <f>E19*'9. CPI'!$E$19</f>
        <v>0.79918492550394393</v>
      </c>
      <c r="F28" s="14">
        <f>F19*'9. CPI'!$E$19</f>
        <v>0.23856266432953552</v>
      </c>
      <c r="G28" s="14">
        <f>G19*'9. CPI'!$E$19</f>
        <v>0.59640666082383875</v>
      </c>
      <c r="H28" s="17">
        <f t="shared" ref="H28:H32" si="2">SUM(C28:G28)</f>
        <v>2.8746801051709028</v>
      </c>
      <c r="I28" s="20"/>
      <c r="J28" s="20"/>
      <c r="K28" s="20"/>
      <c r="L28" s="20"/>
      <c r="M28" s="20"/>
    </row>
    <row r="29" spans="1:13" x14ac:dyDescent="0.25">
      <c r="A29" s="12" t="s">
        <v>6</v>
      </c>
      <c r="B29" s="12" t="s">
        <v>76</v>
      </c>
      <c r="C29" s="14">
        <f>C20*'9. CPI'!$E$19</f>
        <v>0.73358019281332165</v>
      </c>
      <c r="D29" s="14">
        <f>D20*'9. CPI'!$E$19</f>
        <v>0.73596581945661699</v>
      </c>
      <c r="E29" s="14">
        <f>E20*'9. CPI'!$E$19</f>
        <v>0.73835144609991232</v>
      </c>
      <c r="F29" s="14">
        <f>F20*'9. CPI'!$E$19</f>
        <v>0.74073707274320777</v>
      </c>
      <c r="G29" s="14">
        <f>G20*'9. CPI'!$E$19</f>
        <v>0.74431551270815077</v>
      </c>
      <c r="H29" s="17">
        <f t="shared" si="2"/>
        <v>3.6929500438212095</v>
      </c>
      <c r="I29" s="20"/>
      <c r="J29" s="20"/>
      <c r="K29" s="20"/>
      <c r="L29" s="20"/>
      <c r="M29" s="20"/>
    </row>
    <row r="30" spans="1:13" x14ac:dyDescent="0.25">
      <c r="A30" s="12" t="s">
        <v>7</v>
      </c>
      <c r="B30" s="12" t="s">
        <v>76</v>
      </c>
      <c r="C30" s="14">
        <f>C21*'9. CPI'!$E$19</f>
        <v>0.81349868536371617</v>
      </c>
      <c r="D30" s="14">
        <f>D21*'9. CPI'!$E$19</f>
        <v>0.81349868536371617</v>
      </c>
      <c r="E30" s="14">
        <f>E21*'9. CPI'!$E$19</f>
        <v>0.81349868536371617</v>
      </c>
      <c r="F30" s="14">
        <f>F21*'9. CPI'!$E$19</f>
        <v>0.81349868536371617</v>
      </c>
      <c r="G30" s="14">
        <f>G21*'9. CPI'!$E$19</f>
        <v>0.81349868536371617</v>
      </c>
      <c r="H30" s="17">
        <f t="shared" si="2"/>
        <v>4.0674934268185812</v>
      </c>
      <c r="I30" s="20"/>
      <c r="J30" s="20"/>
      <c r="K30" s="20"/>
      <c r="L30" s="20"/>
      <c r="M30" s="20"/>
    </row>
    <row r="31" spans="1:13" x14ac:dyDescent="0.25">
      <c r="A31" s="12" t="s">
        <v>8</v>
      </c>
      <c r="B31" s="12" t="s">
        <v>76</v>
      </c>
      <c r="C31" s="14">
        <f>C22*'9. CPI'!$E$19</f>
        <v>3.1836187554776512</v>
      </c>
      <c r="D31" s="14">
        <f>D22*'9. CPI'!$E$19</f>
        <v>3.1836187554776512</v>
      </c>
      <c r="E31" s="14">
        <f>E22*'9. CPI'!$E$19</f>
        <v>3.1836187554776512</v>
      </c>
      <c r="F31" s="14">
        <f>F22*'9. CPI'!$E$19</f>
        <v>3.1836187554776512</v>
      </c>
      <c r="G31" s="14">
        <f>G22*'9. CPI'!$E$19</f>
        <v>3.1836187554776512</v>
      </c>
      <c r="H31" s="17">
        <f t="shared" si="2"/>
        <v>15.918093777388256</v>
      </c>
      <c r="I31" s="20"/>
      <c r="J31" s="20"/>
      <c r="K31" s="20"/>
      <c r="L31" s="20"/>
      <c r="M31" s="20"/>
    </row>
    <row r="32" spans="1:13" x14ac:dyDescent="0.25">
      <c r="A32" s="15" t="s">
        <v>9</v>
      </c>
      <c r="B32" s="15" t="s">
        <v>76</v>
      </c>
      <c r="C32" s="17">
        <f>SUM(C27:C31)</f>
        <v>19.977237510955298</v>
      </c>
      <c r="D32" s="17">
        <f t="shared" ref="D32:G32" si="3">SUM(D27:D31)</f>
        <v>19.93906748466258</v>
      </c>
      <c r="E32" s="17">
        <f t="shared" si="3"/>
        <v>20.227728308501312</v>
      </c>
      <c r="F32" s="17">
        <f t="shared" si="3"/>
        <v>19.717204206836108</v>
      </c>
      <c r="G32" s="17">
        <f t="shared" si="3"/>
        <v>20.141845749342679</v>
      </c>
      <c r="H32" s="17">
        <f t="shared" si="2"/>
        <v>100.00308326029798</v>
      </c>
      <c r="I32" s="20"/>
      <c r="J32" s="20"/>
      <c r="K32" s="20"/>
      <c r="L32" s="20"/>
      <c r="M32" s="20"/>
    </row>
    <row r="33" spans="1:13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18" t="s">
        <v>47</v>
      </c>
      <c r="B34" s="19"/>
      <c r="C34" s="19"/>
      <c r="D34" s="19"/>
      <c r="E34" s="19"/>
      <c r="F34" s="19"/>
      <c r="G34" s="19"/>
      <c r="H34" s="19"/>
      <c r="I34" s="20"/>
      <c r="J34" s="20"/>
      <c r="K34" s="20"/>
      <c r="L34" s="20"/>
      <c r="M34" s="20"/>
    </row>
    <row r="35" spans="1:13" ht="16.5" customHeight="1" x14ac:dyDescent="0.25">
      <c r="A35" s="21" t="s">
        <v>1</v>
      </c>
      <c r="B35" s="22" t="s">
        <v>2</v>
      </c>
      <c r="C35" s="22">
        <v>2020</v>
      </c>
      <c r="D35" s="22">
        <v>2021</v>
      </c>
      <c r="E35" s="22">
        <v>2022</v>
      </c>
      <c r="F35" s="22">
        <v>2023</v>
      </c>
      <c r="G35" s="22" t="s">
        <v>81</v>
      </c>
      <c r="H35" s="22" t="s">
        <v>3</v>
      </c>
      <c r="I35" s="20"/>
      <c r="J35" s="20"/>
      <c r="K35" s="20"/>
      <c r="L35" s="20"/>
      <c r="M35" s="20"/>
    </row>
    <row r="36" spans="1:13" x14ac:dyDescent="0.25">
      <c r="A36" s="12" t="s">
        <v>4</v>
      </c>
      <c r="B36" s="12" t="s">
        <v>40</v>
      </c>
      <c r="C36" s="14">
        <v>11.652855126816119</v>
      </c>
      <c r="D36" s="14">
        <v>14.675417258981952</v>
      </c>
      <c r="E36" s="14">
        <v>16.702071418290899</v>
      </c>
      <c r="F36" s="14">
        <v>17.036750320905508</v>
      </c>
      <c r="G36" s="14">
        <v>17.161249359179021</v>
      </c>
      <c r="H36" s="17">
        <f>SUM(C36:G36)</f>
        <v>77.228343484173507</v>
      </c>
      <c r="I36" s="20"/>
      <c r="J36" s="20"/>
      <c r="K36" s="20"/>
      <c r="L36" s="20"/>
      <c r="M36" s="20"/>
    </row>
    <row r="37" spans="1:13" x14ac:dyDescent="0.25">
      <c r="A37" s="12" t="s">
        <v>5</v>
      </c>
      <c r="B37" s="12" t="s">
        <v>40</v>
      </c>
      <c r="C37" s="14">
        <v>2.8868145748093169E-2</v>
      </c>
      <c r="D37" s="14">
        <v>0.26592521999527857</v>
      </c>
      <c r="E37" s="14">
        <v>0.47587617443709995</v>
      </c>
      <c r="F37" s="14">
        <v>0.20469502833890385</v>
      </c>
      <c r="G37" s="14">
        <v>0.20588858535545723</v>
      </c>
      <c r="H37" s="17">
        <f t="shared" ref="H37:H41" si="4">SUM(C37:G37)</f>
        <v>1.1812531538748328</v>
      </c>
      <c r="I37" s="20"/>
      <c r="J37" s="20"/>
      <c r="K37" s="20"/>
      <c r="L37" s="20"/>
      <c r="M37" s="20"/>
    </row>
    <row r="38" spans="1:13" x14ac:dyDescent="0.25">
      <c r="A38" s="12" t="s">
        <v>6</v>
      </c>
      <c r="B38" s="12" t="s">
        <v>40</v>
      </c>
      <c r="C38" s="14">
        <v>0.48595808528430967</v>
      </c>
      <c r="D38" s="14">
        <v>0.70980654726096148</v>
      </c>
      <c r="E38" s="14">
        <v>0.91251878807532993</v>
      </c>
      <c r="F38" s="14">
        <v>0.65770665512908089</v>
      </c>
      <c r="G38" s="14">
        <v>0.87731966910087578</v>
      </c>
      <c r="H38" s="17">
        <f t="shared" si="4"/>
        <v>3.6433097448505576</v>
      </c>
      <c r="I38" s="20"/>
      <c r="J38" s="20"/>
      <c r="K38" s="20"/>
      <c r="L38" s="20"/>
      <c r="M38" s="20"/>
    </row>
    <row r="39" spans="1:13" x14ac:dyDescent="0.25">
      <c r="A39" s="12" t="s">
        <v>7</v>
      </c>
      <c r="B39" s="12" t="s">
        <v>40</v>
      </c>
      <c r="C39" s="14">
        <v>0.48427861500000002</v>
      </c>
      <c r="D39" s="14">
        <v>0.45125858250000001</v>
      </c>
      <c r="E39" s="14">
        <v>0.53064866249999998</v>
      </c>
      <c r="F39" s="14">
        <v>1.0950297250000001</v>
      </c>
      <c r="G39" s="14">
        <v>0.51574696499999995</v>
      </c>
      <c r="H39" s="17">
        <f t="shared" si="4"/>
        <v>3.0769625500000002</v>
      </c>
      <c r="I39" s="20"/>
      <c r="J39" s="20"/>
      <c r="K39" s="20"/>
      <c r="L39" s="20"/>
      <c r="M39" s="20"/>
    </row>
    <row r="40" spans="1:13" x14ac:dyDescent="0.25">
      <c r="A40" s="12" t="s">
        <v>8</v>
      </c>
      <c r="B40" s="12" t="s">
        <v>40</v>
      </c>
      <c r="C40" s="14">
        <v>4.1232876968550505</v>
      </c>
      <c r="D40" s="14">
        <v>4.3973654161790634</v>
      </c>
      <c r="E40" s="14">
        <v>7.5860000000000003</v>
      </c>
      <c r="F40" s="14">
        <v>13.468756117849098</v>
      </c>
      <c r="G40" s="14">
        <v>10.402260684375266</v>
      </c>
      <c r="H40" s="17">
        <f t="shared" si="4"/>
        <v>39.977669915258474</v>
      </c>
      <c r="I40" s="20"/>
      <c r="J40" s="20"/>
      <c r="K40" s="20"/>
      <c r="L40" s="20"/>
      <c r="M40" s="20"/>
    </row>
    <row r="41" spans="1:13" x14ac:dyDescent="0.25">
      <c r="A41" s="15" t="s">
        <v>9</v>
      </c>
      <c r="B41" s="15" t="s">
        <v>40</v>
      </c>
      <c r="C41" s="17">
        <f>SUM(C36:C40)</f>
        <v>16.775247669703575</v>
      </c>
      <c r="D41" s="17">
        <f>SUM(D36:D40)</f>
        <v>20.499773024917257</v>
      </c>
      <c r="E41" s="17">
        <f t="shared" ref="E41:G41" si="5">SUM(E36:E40)</f>
        <v>26.207115043303332</v>
      </c>
      <c r="F41" s="17">
        <f t="shared" si="5"/>
        <v>32.462937847222591</v>
      </c>
      <c r="G41" s="17">
        <f t="shared" si="5"/>
        <v>29.162465263010617</v>
      </c>
      <c r="H41" s="17">
        <f t="shared" si="4"/>
        <v>125.10753884815738</v>
      </c>
      <c r="I41" s="20"/>
      <c r="J41" s="20"/>
      <c r="K41" s="20"/>
      <c r="L41" s="20"/>
      <c r="M41" s="20"/>
    </row>
    <row r="42" spans="1:13" x14ac:dyDescent="0.25">
      <c r="A42" s="24" t="s">
        <v>48</v>
      </c>
      <c r="B42" s="25"/>
      <c r="C42" s="26"/>
      <c r="D42" s="26"/>
      <c r="E42" s="26"/>
      <c r="F42" s="26"/>
      <c r="G42" s="26"/>
      <c r="H42" s="27"/>
      <c r="I42" s="20"/>
      <c r="J42" s="20"/>
      <c r="K42" s="20"/>
      <c r="L42" s="20"/>
      <c r="M42" s="20"/>
    </row>
    <row r="43" spans="1:1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1" t="s">
        <v>1</v>
      </c>
      <c r="B44" s="22" t="s">
        <v>2</v>
      </c>
      <c r="C44" s="22">
        <v>2020</v>
      </c>
      <c r="D44" s="22">
        <v>2021</v>
      </c>
      <c r="E44" s="22">
        <v>2022</v>
      </c>
      <c r="F44" s="22">
        <v>2023</v>
      </c>
      <c r="G44" s="22" t="s">
        <v>81</v>
      </c>
      <c r="H44" s="22" t="s">
        <v>3</v>
      </c>
      <c r="I44" s="20"/>
      <c r="J44" s="20"/>
      <c r="K44" s="20"/>
      <c r="L44" s="20"/>
      <c r="M44" s="20"/>
    </row>
    <row r="45" spans="1:13" x14ac:dyDescent="0.25">
      <c r="A45" s="12" t="s">
        <v>4</v>
      </c>
      <c r="B45" s="12" t="s">
        <v>76</v>
      </c>
      <c r="C45" s="14">
        <f>C36*'9. CPI'!G$19</f>
        <v>13.532027156652507</v>
      </c>
      <c r="D45" s="14">
        <f>D36*'9. CPI'!H$19</f>
        <v>16.465987542847845</v>
      </c>
      <c r="E45" s="14">
        <f>E36*'9. CPI'!I$19</f>
        <v>17.378837309093203</v>
      </c>
      <c r="F45" s="14">
        <f>F36</f>
        <v>17.036750320905508</v>
      </c>
      <c r="G45" s="14">
        <f>G36</f>
        <v>17.161249359179021</v>
      </c>
      <c r="H45" s="17">
        <f>SUM(C45:G45)</f>
        <v>81.574851688678095</v>
      </c>
      <c r="I45" s="20"/>
      <c r="J45" s="20"/>
      <c r="K45" s="20"/>
      <c r="L45" s="20"/>
      <c r="M45" s="20"/>
    </row>
    <row r="46" spans="1:13" x14ac:dyDescent="0.25">
      <c r="A46" s="12" t="s">
        <v>5</v>
      </c>
      <c r="B46" s="12" t="s">
        <v>76</v>
      </c>
      <c r="C46" s="14">
        <f>C37*'9. CPI'!G$19</f>
        <v>3.3523503722828328E-2</v>
      </c>
      <c r="D46" s="14">
        <f>D37*'9. CPI'!H$19</f>
        <v>0.29837116604581548</v>
      </c>
      <c r="E46" s="14">
        <f>E37*'9. CPI'!I$19</f>
        <v>0.49515861881413836</v>
      </c>
      <c r="F46" s="14">
        <f t="shared" ref="F46:G49" si="6">F37</f>
        <v>0.20469502833890385</v>
      </c>
      <c r="G46" s="14">
        <f t="shared" si="6"/>
        <v>0.20588858535545723</v>
      </c>
      <c r="H46" s="17">
        <f t="shared" ref="H46:H50" si="7">SUM(C46:G46)</f>
        <v>1.2376369022771434</v>
      </c>
      <c r="I46" s="20"/>
      <c r="J46" s="20"/>
      <c r="K46" s="20"/>
      <c r="L46" s="20"/>
      <c r="M46" s="20"/>
    </row>
    <row r="47" spans="1:13" x14ac:dyDescent="0.25">
      <c r="A47" s="12" t="s">
        <v>6</v>
      </c>
      <c r="B47" s="12" t="s">
        <v>76</v>
      </c>
      <c r="C47" s="14">
        <f>C38*'9. CPI'!G$19</f>
        <v>0.56432504613647227</v>
      </c>
      <c r="D47" s="14">
        <f>D38*'9. CPI'!H$19</f>
        <v>0.79641113835298327</v>
      </c>
      <c r="E47" s="14">
        <f>E38*'9. CPI'!I$19</f>
        <v>0.94949393774504887</v>
      </c>
      <c r="F47" s="14">
        <f t="shared" si="6"/>
        <v>0.65770665512908089</v>
      </c>
      <c r="G47" s="14">
        <f t="shared" si="6"/>
        <v>0.87731966910087578</v>
      </c>
      <c r="H47" s="17">
        <f t="shared" si="7"/>
        <v>3.845256446464461</v>
      </c>
      <c r="I47" s="20"/>
      <c r="J47" s="20"/>
      <c r="K47" s="20"/>
      <c r="L47" s="20"/>
      <c r="M47" s="20"/>
    </row>
    <row r="48" spans="1:13" x14ac:dyDescent="0.25">
      <c r="A48" s="12" t="s">
        <v>7</v>
      </c>
      <c r="B48" s="12" t="s">
        <v>76</v>
      </c>
      <c r="C48" s="14">
        <f>C39*'9. CPI'!G$19</f>
        <v>0.56237473977389085</v>
      </c>
      <c r="D48" s="14">
        <f>D39*'9. CPI'!H$19</f>
        <v>0.50631733782563892</v>
      </c>
      <c r="E48" s="14">
        <f>E39*'9. CPI'!I$19</f>
        <v>0.55215048139334855</v>
      </c>
      <c r="F48" s="14">
        <f t="shared" si="6"/>
        <v>1.0950297250000001</v>
      </c>
      <c r="G48" s="14">
        <f t="shared" si="6"/>
        <v>0.51574696499999995</v>
      </c>
      <c r="H48" s="17">
        <f t="shared" si="7"/>
        <v>3.2316192489928781</v>
      </c>
      <c r="I48" s="20"/>
      <c r="J48" s="20"/>
      <c r="K48" s="20"/>
      <c r="L48" s="20"/>
      <c r="M48" s="20"/>
    </row>
    <row r="49" spans="1:13" x14ac:dyDescent="0.25">
      <c r="A49" s="12" t="s">
        <v>8</v>
      </c>
      <c r="B49" s="12" t="s">
        <v>76</v>
      </c>
      <c r="C49" s="14">
        <f>C40*'9. CPI'!G$19</f>
        <v>4.7882206104263858</v>
      </c>
      <c r="D49" s="14">
        <f>D40*'9. CPI'!H$19</f>
        <v>4.9338947497277044</v>
      </c>
      <c r="E49" s="14">
        <f>E40*'9. CPI'!I$19</f>
        <v>7.8933837920489287</v>
      </c>
      <c r="F49" s="14">
        <f t="shared" si="6"/>
        <v>13.468756117849098</v>
      </c>
      <c r="G49" s="14">
        <f t="shared" si="6"/>
        <v>10.402260684375266</v>
      </c>
      <c r="H49" s="17">
        <f t="shared" si="7"/>
        <v>41.486515954427382</v>
      </c>
      <c r="I49" s="20"/>
      <c r="J49" s="20"/>
      <c r="K49" s="20"/>
      <c r="L49" s="20"/>
      <c r="M49" s="20"/>
    </row>
    <row r="50" spans="1:13" x14ac:dyDescent="0.25">
      <c r="A50" s="15" t="s">
        <v>9</v>
      </c>
      <c r="B50" s="15" t="s">
        <v>76</v>
      </c>
      <c r="C50" s="17">
        <f>SUM(C45:C49)</f>
        <v>19.480471056712084</v>
      </c>
      <c r="D50" s="17">
        <f t="shared" ref="D50:G50" si="8">SUM(D45:D49)</f>
        <v>23.000981934799988</v>
      </c>
      <c r="E50" s="17">
        <f t="shared" si="8"/>
        <v>27.269024139094668</v>
      </c>
      <c r="F50" s="17">
        <f t="shared" si="8"/>
        <v>32.462937847222591</v>
      </c>
      <c r="G50" s="17">
        <f t="shared" si="8"/>
        <v>29.162465263010617</v>
      </c>
      <c r="H50" s="17">
        <f t="shared" si="7"/>
        <v>131.37588024083993</v>
      </c>
      <c r="I50" s="20"/>
      <c r="J50" s="23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63" t="s">
        <v>82</v>
      </c>
      <c r="B52" s="20"/>
      <c r="C52" s="20"/>
      <c r="D52" s="20"/>
      <c r="E52" s="20"/>
      <c r="F52" s="20"/>
      <c r="G52" s="23"/>
      <c r="H52" s="20"/>
      <c r="I52" s="20"/>
      <c r="J52" s="20"/>
      <c r="K52" s="20"/>
      <c r="L52" s="20"/>
      <c r="M52" s="20"/>
    </row>
    <row r="53" spans="1:13" x14ac:dyDescent="0.25">
      <c r="A53" s="62" t="s">
        <v>83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5">
      <c r="A54" s="6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9CA7-1E32-4642-AC00-39C719F100A2}">
  <dimension ref="A13:L27"/>
  <sheetViews>
    <sheetView showGridLines="0" zoomScale="130" zoomScaleNormal="130" workbookViewId="0">
      <selection activeCell="D21" sqref="D21"/>
    </sheetView>
  </sheetViews>
  <sheetFormatPr defaultColWidth="8.7265625" defaultRowHeight="13.5" x14ac:dyDescent="0.25"/>
  <cols>
    <col min="1" max="1" width="26.453125" style="1" customWidth="1"/>
    <col min="2" max="2" width="12.36328125" style="1" bestFit="1" customWidth="1"/>
    <col min="3" max="3" width="8.81640625" style="1" bestFit="1" customWidth="1"/>
    <col min="4" max="4" width="11" style="1" bestFit="1" customWidth="1"/>
    <col min="5" max="6" width="8.81640625" style="1" bestFit="1" customWidth="1"/>
    <col min="7" max="7" width="9.453125" style="1" bestFit="1" customWidth="1"/>
    <col min="8" max="16384" width="8.7265625" style="1"/>
  </cols>
  <sheetData>
    <row r="13" spans="1:12" ht="14" thickBot="1" x14ac:dyDescent="0.3"/>
    <row r="14" spans="1:12" ht="19.5" customHeight="1" thickTop="1" thickBot="1" x14ac:dyDescent="0.4">
      <c r="A14" s="4" t="s">
        <v>91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/>
    </row>
    <row r="15" spans="1:12" ht="14" thickTop="1" x14ac:dyDescent="0.25"/>
    <row r="16" spans="1:12" ht="16.5" customHeight="1" x14ac:dyDescent="0.25">
      <c r="A16" s="21" t="s">
        <v>1</v>
      </c>
      <c r="B16" s="22" t="s">
        <v>2</v>
      </c>
      <c r="C16" s="22">
        <v>2023</v>
      </c>
      <c r="D16" s="22" t="s">
        <v>68</v>
      </c>
      <c r="E16" s="20"/>
    </row>
    <row r="17" spans="1:5" x14ac:dyDescent="0.25">
      <c r="A17" s="12" t="s">
        <v>4</v>
      </c>
      <c r="B17" s="13" t="s">
        <v>40</v>
      </c>
      <c r="C17" s="14">
        <f>'1. Historic Opex'!F36</f>
        <v>17.036750320905508</v>
      </c>
      <c r="D17" s="14">
        <v>17.078763944070474</v>
      </c>
      <c r="E17" s="20"/>
    </row>
    <row r="18" spans="1:5" x14ac:dyDescent="0.25">
      <c r="A18" s="12" t="s">
        <v>5</v>
      </c>
      <c r="B18" s="13" t="s">
        <v>40</v>
      </c>
      <c r="C18" s="14">
        <f>'1. Historic Opex'!F37</f>
        <v>0.20469502833890385</v>
      </c>
      <c r="D18" s="14">
        <v>0.20469502833890385</v>
      </c>
      <c r="E18" s="20"/>
    </row>
    <row r="19" spans="1:5" x14ac:dyDescent="0.25">
      <c r="A19" s="12" t="s">
        <v>6</v>
      </c>
      <c r="B19" s="13" t="s">
        <v>40</v>
      </c>
      <c r="C19" s="14">
        <f>'1. Historic Opex'!F38</f>
        <v>0.65770665512908089</v>
      </c>
      <c r="D19" s="14">
        <v>0.70655953276593209</v>
      </c>
      <c r="E19" s="20"/>
    </row>
    <row r="20" spans="1:5" x14ac:dyDescent="0.25">
      <c r="A20" s="12" t="s">
        <v>7</v>
      </c>
      <c r="B20" s="13" t="s">
        <v>40</v>
      </c>
      <c r="C20" s="14">
        <f>'1. Historic Opex'!F39</f>
        <v>1.0950297250000001</v>
      </c>
      <c r="D20" s="14">
        <v>1.0950297250000001</v>
      </c>
      <c r="E20" s="20"/>
    </row>
    <row r="21" spans="1:5" x14ac:dyDescent="0.25">
      <c r="A21" s="12" t="s">
        <v>8</v>
      </c>
      <c r="B21" s="13" t="s">
        <v>40</v>
      </c>
      <c r="C21" s="14">
        <f>'1. Historic Opex'!F40</f>
        <v>13.468756117849098</v>
      </c>
      <c r="D21" s="14">
        <v>13.468756117849098</v>
      </c>
      <c r="E21" s="20"/>
    </row>
    <row r="22" spans="1:5" x14ac:dyDescent="0.25">
      <c r="A22" s="15" t="s">
        <v>9</v>
      </c>
      <c r="B22" s="16" t="s">
        <v>40</v>
      </c>
      <c r="C22" s="17">
        <f>SUM(C17:C21)</f>
        <v>32.462937847222591</v>
      </c>
      <c r="D22" s="17">
        <f>SUM(D17:D21)</f>
        <v>32.553804348024407</v>
      </c>
      <c r="E22" s="20"/>
    </row>
    <row r="23" spans="1:5" x14ac:dyDescent="0.25">
      <c r="A23" s="24" t="s">
        <v>48</v>
      </c>
      <c r="B23" s="25"/>
      <c r="C23" s="26"/>
      <c r="D23" s="26"/>
      <c r="E23" s="20"/>
    </row>
    <row r="24" spans="1:5" x14ac:dyDescent="0.25">
      <c r="A24" s="20"/>
      <c r="B24" s="20"/>
      <c r="C24" s="20"/>
      <c r="D24" s="20"/>
      <c r="E24" s="20"/>
    </row>
    <row r="25" spans="1:5" x14ac:dyDescent="0.25">
      <c r="A25" s="20"/>
      <c r="B25" s="20"/>
      <c r="C25" s="20"/>
      <c r="D25" s="20"/>
      <c r="E25" s="20"/>
    </row>
    <row r="26" spans="1:5" x14ac:dyDescent="0.25">
      <c r="A26" s="20"/>
      <c r="B26" s="20"/>
      <c r="C26" s="20"/>
      <c r="D26" s="20"/>
      <c r="E26" s="20"/>
    </row>
    <row r="27" spans="1:5" x14ac:dyDescent="0.25">
      <c r="A27" s="20"/>
      <c r="B27" s="20"/>
      <c r="C27" s="20"/>
      <c r="D27" s="20"/>
      <c r="E27" s="2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0D40-911F-485B-8E1F-23ED3A6AF341}">
  <dimension ref="A13:F26"/>
  <sheetViews>
    <sheetView showGridLines="0" zoomScale="160" zoomScaleNormal="160" workbookViewId="0">
      <selection activeCell="D25" sqref="D25"/>
    </sheetView>
  </sheetViews>
  <sheetFormatPr defaultColWidth="8.7265625" defaultRowHeight="13.5" x14ac:dyDescent="0.25"/>
  <cols>
    <col min="1" max="1" width="45.26953125" style="1" bestFit="1" customWidth="1"/>
    <col min="2" max="2" width="12.08984375" style="6" bestFit="1" customWidth="1"/>
    <col min="3" max="3" width="10.54296875" style="1" customWidth="1"/>
    <col min="4" max="4" width="15.26953125" style="1" bestFit="1" customWidth="1"/>
    <col min="5" max="16384" width="8.7265625" style="1"/>
  </cols>
  <sheetData>
    <row r="13" spans="1:6" ht="14" thickBot="1" x14ac:dyDescent="0.3"/>
    <row r="14" spans="1:6" ht="18.5" thickTop="1" thickBot="1" x14ac:dyDescent="0.3">
      <c r="A14" s="4" t="s">
        <v>93</v>
      </c>
      <c r="B14" s="7"/>
      <c r="C14" s="4"/>
      <c r="D14" s="4"/>
    </row>
    <row r="15" spans="1:6" ht="14" thickTop="1" x14ac:dyDescent="0.25"/>
    <row r="16" spans="1:6" x14ac:dyDescent="0.25">
      <c r="A16" s="30" t="s">
        <v>15</v>
      </c>
      <c r="B16" s="22" t="s">
        <v>2</v>
      </c>
      <c r="C16" s="22">
        <v>2023</v>
      </c>
      <c r="D16" s="22" t="s">
        <v>92</v>
      </c>
      <c r="E16" s="20"/>
      <c r="F16" s="20"/>
    </row>
    <row r="17" spans="1:6" x14ac:dyDescent="0.25">
      <c r="A17" s="12" t="s">
        <v>84</v>
      </c>
      <c r="B17" s="13" t="s">
        <v>76</v>
      </c>
      <c r="C17" s="31">
        <v>7.3932497032559841</v>
      </c>
      <c r="D17" s="31">
        <v>6.2069841434925745</v>
      </c>
      <c r="E17" s="20"/>
      <c r="F17" s="20"/>
    </row>
    <row r="18" spans="1:6" x14ac:dyDescent="0.25">
      <c r="A18" s="42" t="s">
        <v>87</v>
      </c>
      <c r="B18" s="13" t="s">
        <v>76</v>
      </c>
      <c r="C18" s="31">
        <v>6.0755063584923867</v>
      </c>
      <c r="D18" s="31">
        <v>6.0755063584923867</v>
      </c>
      <c r="E18" s="20"/>
      <c r="F18" s="20"/>
    </row>
    <row r="19" spans="1:6" x14ac:dyDescent="0.25">
      <c r="A19" s="15" t="s">
        <v>3</v>
      </c>
      <c r="B19" s="16" t="s">
        <v>76</v>
      </c>
      <c r="C19" s="68">
        <f>C17+C18</f>
        <v>13.468756061748371</v>
      </c>
      <c r="D19" s="68">
        <f>D17+D18</f>
        <v>12.282490501984961</v>
      </c>
      <c r="E19" s="35"/>
      <c r="F19" s="35"/>
    </row>
    <row r="20" spans="1:6" x14ac:dyDescent="0.25">
      <c r="A20" s="20"/>
      <c r="B20" s="29"/>
      <c r="C20" s="20"/>
      <c r="D20" s="20"/>
      <c r="E20" s="20"/>
    </row>
    <row r="21" spans="1:6" x14ac:dyDescent="0.25">
      <c r="A21" s="20"/>
      <c r="B21" s="29"/>
      <c r="C21" s="20"/>
      <c r="D21" s="20"/>
      <c r="E21" s="20"/>
    </row>
    <row r="22" spans="1:6" x14ac:dyDescent="0.25">
      <c r="A22" s="20"/>
      <c r="B22" s="29"/>
      <c r="C22" s="23"/>
      <c r="D22" s="20"/>
      <c r="E22" s="20"/>
    </row>
    <row r="23" spans="1:6" x14ac:dyDescent="0.25">
      <c r="A23" s="20"/>
      <c r="B23" s="29"/>
      <c r="C23" s="23"/>
      <c r="D23" s="20"/>
      <c r="E23" s="20"/>
    </row>
    <row r="24" spans="1:6" x14ac:dyDescent="0.25">
      <c r="A24" s="20"/>
      <c r="B24" s="64"/>
      <c r="C24" s="20"/>
      <c r="D24" s="20"/>
      <c r="E24" s="20"/>
    </row>
    <row r="25" spans="1:6" x14ac:dyDescent="0.25">
      <c r="A25" s="20"/>
      <c r="B25" s="29"/>
      <c r="C25" s="20"/>
      <c r="D25" s="20"/>
      <c r="E25" s="20"/>
    </row>
    <row r="26" spans="1:6" x14ac:dyDescent="0.25">
      <c r="B26" s="6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E880-62F2-4BFF-A29D-4DFF2B4F6A1C}">
  <dimension ref="A13:F36"/>
  <sheetViews>
    <sheetView showGridLines="0" zoomScale="160" zoomScaleNormal="160" workbookViewId="0">
      <selection activeCell="L33" sqref="L33"/>
    </sheetView>
  </sheetViews>
  <sheetFormatPr defaultColWidth="8.7265625" defaultRowHeight="13.5" x14ac:dyDescent="0.25"/>
  <cols>
    <col min="1" max="1" width="39.08984375" style="1" customWidth="1"/>
    <col min="2" max="2" width="12.08984375" style="6" bestFit="1" customWidth="1"/>
    <col min="3" max="3" width="10.54296875" style="1" customWidth="1"/>
    <col min="4" max="16384" width="8.7265625" style="1"/>
  </cols>
  <sheetData>
    <row r="13" spans="1:3" ht="14" thickBot="1" x14ac:dyDescent="0.3"/>
    <row r="14" spans="1:3" ht="18.5" thickTop="1" thickBot="1" x14ac:dyDescent="0.3">
      <c r="A14" s="4" t="s">
        <v>14</v>
      </c>
      <c r="B14" s="7"/>
      <c r="C14" s="4"/>
    </row>
    <row r="15" spans="1:3" ht="14" thickTop="1" x14ac:dyDescent="0.25"/>
    <row r="16" spans="1:3" x14ac:dyDescent="0.25">
      <c r="A16" s="18" t="s">
        <v>86</v>
      </c>
      <c r="B16" s="67"/>
      <c r="C16" s="66"/>
    </row>
    <row r="17" spans="1:6" x14ac:dyDescent="0.25">
      <c r="A17" s="30" t="s">
        <v>15</v>
      </c>
      <c r="B17" s="22" t="s">
        <v>2</v>
      </c>
      <c r="C17" s="22" t="s">
        <v>70</v>
      </c>
      <c r="D17" s="20"/>
    </row>
    <row r="18" spans="1:6" x14ac:dyDescent="0.25">
      <c r="A18" s="12" t="s">
        <v>69</v>
      </c>
      <c r="B18" s="13" t="s">
        <v>76</v>
      </c>
      <c r="C18" s="31">
        <f>'2. NGI Demand Adjustment'!D22-'2. NGI Demand Adjustment'!D21+'3. Corporate adjustment'!D19</f>
        <v>31.36753873216027</v>
      </c>
      <c r="D18" s="20"/>
    </row>
    <row r="19" spans="1:6" x14ac:dyDescent="0.25">
      <c r="A19" s="32" t="s">
        <v>16</v>
      </c>
      <c r="B19" s="33"/>
      <c r="C19" s="31"/>
      <c r="D19" s="20"/>
    </row>
    <row r="20" spans="1:6" x14ac:dyDescent="0.25">
      <c r="A20" s="61" t="s">
        <v>79</v>
      </c>
      <c r="B20" s="13" t="s">
        <v>76</v>
      </c>
      <c r="C20" s="34">
        <v>0.57928276000000012</v>
      </c>
      <c r="D20" s="35"/>
    </row>
    <row r="21" spans="1:6" x14ac:dyDescent="0.25">
      <c r="A21" s="61" t="s">
        <v>88</v>
      </c>
      <c r="B21" s="13" t="s">
        <v>76</v>
      </c>
      <c r="C21" s="34">
        <v>1.5466787626843166</v>
      </c>
      <c r="D21" s="35"/>
    </row>
    <row r="22" spans="1:6" x14ac:dyDescent="0.25">
      <c r="A22" s="61" t="s">
        <v>78</v>
      </c>
      <c r="B22" s="13" t="s">
        <v>76</v>
      </c>
      <c r="C22" s="34">
        <v>2.6510191609469511</v>
      </c>
      <c r="D22" s="35"/>
    </row>
    <row r="23" spans="1:6" x14ac:dyDescent="0.25">
      <c r="A23" s="36" t="s">
        <v>57</v>
      </c>
      <c r="B23" s="13"/>
      <c r="C23" s="31"/>
      <c r="D23" s="20"/>
    </row>
    <row r="24" spans="1:6" x14ac:dyDescent="0.25">
      <c r="A24" s="12" t="s">
        <v>56</v>
      </c>
      <c r="B24" s="13" t="s">
        <v>76</v>
      </c>
      <c r="C24" s="31">
        <v>0.1040880779972542</v>
      </c>
      <c r="D24" s="20"/>
    </row>
    <row r="25" spans="1:6" x14ac:dyDescent="0.25">
      <c r="A25" s="12" t="s">
        <v>59</v>
      </c>
      <c r="B25" s="13" t="s">
        <v>76</v>
      </c>
      <c r="C25" s="31">
        <v>1.1770993883512189</v>
      </c>
      <c r="D25" s="20"/>
    </row>
    <row r="26" spans="1:6" x14ac:dyDescent="0.25">
      <c r="A26" s="12" t="s">
        <v>60</v>
      </c>
      <c r="B26" s="13" t="s">
        <v>76</v>
      </c>
      <c r="C26" s="31">
        <v>1.3783545600523868</v>
      </c>
      <c r="D26" s="20"/>
    </row>
    <row r="27" spans="1:6" x14ac:dyDescent="0.25">
      <c r="A27" s="15" t="s">
        <v>15</v>
      </c>
      <c r="B27" s="16" t="s">
        <v>76</v>
      </c>
      <c r="C27" s="37">
        <f>C18-C20-C21-C22-C24-C25-C26</f>
        <v>23.931016022128141</v>
      </c>
      <c r="D27" s="20"/>
    </row>
    <row r="28" spans="1:6" x14ac:dyDescent="0.25">
      <c r="A28" s="20"/>
      <c r="B28" s="29"/>
      <c r="C28" s="20"/>
      <c r="D28" s="20"/>
    </row>
    <row r="29" spans="1:6" x14ac:dyDescent="0.25">
      <c r="A29" s="18" t="s">
        <v>85</v>
      </c>
      <c r="B29" s="69"/>
      <c r="C29" s="18"/>
    </row>
    <row r="30" spans="1:6" x14ac:dyDescent="0.25">
      <c r="A30" s="21" t="s">
        <v>1</v>
      </c>
      <c r="B30" s="22" t="s">
        <v>2</v>
      </c>
      <c r="C30" s="22" t="s">
        <v>15</v>
      </c>
    </row>
    <row r="31" spans="1:6" x14ac:dyDescent="0.25">
      <c r="A31" s="12" t="s">
        <v>4</v>
      </c>
      <c r="B31" s="13" t="s">
        <v>76</v>
      </c>
      <c r="C31" s="14">
        <f>'2. NGI Demand Adjustment'!D17-C25-C26</f>
        <v>14.523309995666867</v>
      </c>
      <c r="F31" s="10"/>
    </row>
    <row r="32" spans="1:6" x14ac:dyDescent="0.25">
      <c r="A32" s="12" t="s">
        <v>5</v>
      </c>
      <c r="B32" s="13" t="s">
        <v>76</v>
      </c>
      <c r="C32" s="14">
        <f>'2. NGI Demand Adjustment'!D18</f>
        <v>0.20469502833890385</v>
      </c>
    </row>
    <row r="33" spans="1:4" x14ac:dyDescent="0.25">
      <c r="A33" s="12" t="s">
        <v>6</v>
      </c>
      <c r="B33" s="13" t="s">
        <v>76</v>
      </c>
      <c r="C33" s="14">
        <f>'2. NGI Demand Adjustment'!D19-C24</f>
        <v>0.60247145476867792</v>
      </c>
    </row>
    <row r="34" spans="1:4" x14ac:dyDescent="0.25">
      <c r="A34" s="12" t="s">
        <v>7</v>
      </c>
      <c r="B34" s="13" t="s">
        <v>76</v>
      </c>
      <c r="C34" s="14">
        <f>'2. NGI Demand Adjustment'!D20-C20</f>
        <v>0.51574696499999995</v>
      </c>
    </row>
    <row r="35" spans="1:4" x14ac:dyDescent="0.25">
      <c r="A35" s="12" t="s">
        <v>8</v>
      </c>
      <c r="B35" s="13" t="s">
        <v>76</v>
      </c>
      <c r="C35" s="14">
        <f>'3. Corporate adjustment'!D19-C21-C22</f>
        <v>8.0847925783536922</v>
      </c>
    </row>
    <row r="36" spans="1:4" x14ac:dyDescent="0.25">
      <c r="A36" s="15" t="s">
        <v>9</v>
      </c>
      <c r="B36" s="16" t="s">
        <v>76</v>
      </c>
      <c r="C36" s="17">
        <f>SUM(C31:C35)</f>
        <v>23.931016022128141</v>
      </c>
      <c r="D36" s="1" t="str">
        <f>IF(C27=C36,"OK","Check")</f>
        <v>OK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1704-ECB4-4147-84AE-885A636CB36C}">
  <dimension ref="A13:L49"/>
  <sheetViews>
    <sheetView showGridLines="0" topLeftCell="A4" zoomScale="115" zoomScaleNormal="115" workbookViewId="0">
      <selection activeCell="C31" sqref="C31"/>
    </sheetView>
  </sheetViews>
  <sheetFormatPr defaultColWidth="8.7265625" defaultRowHeight="13.5" x14ac:dyDescent="0.25"/>
  <cols>
    <col min="1" max="1" width="39.81640625" style="1" customWidth="1"/>
    <col min="2" max="2" width="12.6328125" style="1" customWidth="1"/>
    <col min="3" max="3" width="13" style="1" customWidth="1"/>
    <col min="4" max="4" width="13.54296875" style="1" customWidth="1"/>
    <col min="5" max="5" width="12" style="1" customWidth="1"/>
    <col min="6" max="6" width="9.81640625" style="1" customWidth="1"/>
    <col min="7" max="7" width="10.26953125" style="1" customWidth="1"/>
    <col min="8" max="8" width="9.1796875" style="1" bestFit="1" customWidth="1"/>
    <col min="9" max="10" width="8.7265625" style="1"/>
    <col min="11" max="11" width="45.26953125" style="1" bestFit="1" customWidth="1"/>
    <col min="12" max="12" width="11.54296875" style="1" customWidth="1"/>
    <col min="13" max="13" width="10.08984375" style="1" customWidth="1"/>
    <col min="14" max="16384" width="8.7265625" style="1"/>
  </cols>
  <sheetData>
    <row r="13" spans="1:9" ht="14" thickBot="1" x14ac:dyDescent="0.3"/>
    <row r="14" spans="1:9" ht="18.5" thickTop="1" thickBot="1" x14ac:dyDescent="0.3">
      <c r="A14" s="4" t="s">
        <v>18</v>
      </c>
      <c r="B14" s="4"/>
      <c r="C14" s="4"/>
      <c r="D14" s="4"/>
      <c r="E14" s="4"/>
      <c r="F14" s="4"/>
      <c r="G14" s="4"/>
      <c r="H14" s="4"/>
      <c r="I14" s="4"/>
    </row>
    <row r="15" spans="1:9" ht="14" thickTop="1" x14ac:dyDescent="0.25"/>
    <row r="16" spans="1:9" ht="44.5" customHeight="1" x14ac:dyDescent="0.25">
      <c r="A16" s="38" t="s">
        <v>19</v>
      </c>
      <c r="B16" s="39" t="s">
        <v>72</v>
      </c>
      <c r="C16" s="39" t="s">
        <v>73</v>
      </c>
      <c r="D16" s="39" t="s">
        <v>43</v>
      </c>
      <c r="E16" s="39" t="s">
        <v>44</v>
      </c>
      <c r="F16" s="39" t="s">
        <v>71</v>
      </c>
      <c r="G16" s="39" t="s">
        <v>20</v>
      </c>
      <c r="H16" s="20"/>
    </row>
    <row r="17" spans="1:9" x14ac:dyDescent="0.25">
      <c r="A17" s="12" t="s">
        <v>21</v>
      </c>
      <c r="B17" s="40">
        <v>4.2500000000000003E-2</v>
      </c>
      <c r="C17" s="40">
        <v>3.7499999999999999E-2</v>
      </c>
      <c r="D17" s="40">
        <v>3.5000000000000003E-2</v>
      </c>
      <c r="E17" s="40">
        <v>0.03</v>
      </c>
      <c r="F17" s="40">
        <v>0.03</v>
      </c>
      <c r="G17" s="41">
        <f>AVERAGE(B17:F17)</f>
        <v>3.5000000000000003E-2</v>
      </c>
      <c r="H17" s="20"/>
    </row>
    <row r="18" spans="1:9" x14ac:dyDescent="0.25">
      <c r="A18" s="89" t="s">
        <v>22</v>
      </c>
      <c r="B18" s="90">
        <v>0.04</v>
      </c>
      <c r="C18" s="90">
        <v>0.03</v>
      </c>
      <c r="D18" s="90">
        <v>2.5000000000000001E-2</v>
      </c>
      <c r="E18" s="90">
        <v>2.5000000000000001E-2</v>
      </c>
      <c r="F18" s="90">
        <v>2.5000000000000001E-2</v>
      </c>
      <c r="G18" s="41">
        <f>AVERAGE(B18:F18)</f>
        <v>2.8999999999999998E-2</v>
      </c>
      <c r="H18" s="20"/>
    </row>
    <row r="19" spans="1:9" x14ac:dyDescent="0.25">
      <c r="A19" s="91" t="s">
        <v>23</v>
      </c>
      <c r="B19" s="92"/>
      <c r="C19" s="92"/>
      <c r="D19" s="92"/>
      <c r="E19" s="92"/>
      <c r="F19" s="93"/>
      <c r="G19" s="88">
        <f>(((1+G17)/(1+G18))-1)</f>
        <v>5.8309037900874383E-3</v>
      </c>
      <c r="H19" s="20"/>
    </row>
    <row r="20" spans="1:9" x14ac:dyDescent="0.25">
      <c r="A20" s="24" t="s">
        <v>74</v>
      </c>
      <c r="B20" s="28"/>
      <c r="C20" s="28"/>
      <c r="D20" s="28"/>
      <c r="E20" s="43"/>
      <c r="F20" s="25"/>
      <c r="G20" s="20"/>
      <c r="H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</row>
    <row r="22" spans="1:9" ht="18" customHeight="1" x14ac:dyDescent="0.25">
      <c r="A22" s="38" t="s">
        <v>24</v>
      </c>
      <c r="B22" s="39">
        <v>2023</v>
      </c>
      <c r="C22" s="39">
        <v>2024</v>
      </c>
      <c r="D22" s="39">
        <v>2025</v>
      </c>
      <c r="E22" s="39">
        <v>2026</v>
      </c>
      <c r="F22" s="39">
        <v>2027</v>
      </c>
      <c r="G22" s="39">
        <v>2028</v>
      </c>
      <c r="H22" s="39">
        <v>2029</v>
      </c>
    </row>
    <row r="23" spans="1:9" x14ac:dyDescent="0.25">
      <c r="A23" s="12" t="s">
        <v>25</v>
      </c>
      <c r="B23" s="40" t="s">
        <v>75</v>
      </c>
      <c r="C23" s="40">
        <f t="shared" ref="C23:H23" si="0">$G$19</f>
        <v>5.8309037900874383E-3</v>
      </c>
      <c r="D23" s="40">
        <f t="shared" si="0"/>
        <v>5.8309037900874383E-3</v>
      </c>
      <c r="E23" s="40">
        <f t="shared" si="0"/>
        <v>5.8309037900874383E-3</v>
      </c>
      <c r="F23" s="40">
        <f t="shared" si="0"/>
        <v>5.8309037900874383E-3</v>
      </c>
      <c r="G23" s="40">
        <f t="shared" si="0"/>
        <v>5.8309037900874383E-3</v>
      </c>
      <c r="H23" s="40">
        <f t="shared" si="0"/>
        <v>5.8309037900874383E-3</v>
      </c>
    </row>
    <row r="24" spans="1:9" x14ac:dyDescent="0.25">
      <c r="A24" s="42" t="s">
        <v>26</v>
      </c>
      <c r="B24" s="14">
        <v>1</v>
      </c>
      <c r="C24" s="14">
        <f>B24*(1+C23)</f>
        <v>1.0058309037900874</v>
      </c>
      <c r="D24" s="14">
        <f>C24*(1+D23)</f>
        <v>1.0116958070191842</v>
      </c>
      <c r="E24" s="14">
        <f t="shared" ref="E24:H24" si="1">D24*(1+E23)</f>
        <v>1.0175949079347479</v>
      </c>
      <c r="F24" s="14">
        <f t="shared" si="1"/>
        <v>1.0235284059401983</v>
      </c>
      <c r="G24" s="14">
        <f t="shared" si="1"/>
        <v>1.0294965016016573</v>
      </c>
      <c r="H24" s="14">
        <f t="shared" si="1"/>
        <v>1.0354993966547281</v>
      </c>
    </row>
    <row r="25" spans="1:9" x14ac:dyDescent="0.25">
      <c r="A25" s="20"/>
      <c r="B25" s="20"/>
      <c r="C25" s="20"/>
      <c r="D25" s="20"/>
      <c r="E25" s="20"/>
      <c r="F25" s="20"/>
      <c r="G25" s="20"/>
      <c r="H25" s="20"/>
    </row>
    <row r="26" spans="1:9" ht="25" x14ac:dyDescent="0.25">
      <c r="A26" s="38" t="s">
        <v>27</v>
      </c>
      <c r="B26" s="39" t="s">
        <v>2</v>
      </c>
      <c r="C26" s="44">
        <v>2023</v>
      </c>
      <c r="D26" s="45" t="s">
        <v>10</v>
      </c>
      <c r="E26" s="45" t="s">
        <v>11</v>
      </c>
      <c r="F26" s="20"/>
      <c r="G26" s="20"/>
      <c r="H26" s="20"/>
      <c r="I26" s="20"/>
    </row>
    <row r="27" spans="1:9" ht="37.5" x14ac:dyDescent="0.25">
      <c r="A27" s="46" t="s">
        <v>28</v>
      </c>
      <c r="B27" s="70" t="s">
        <v>76</v>
      </c>
      <c r="C27" s="31">
        <v>0.13328970085330863</v>
      </c>
      <c r="D27" s="47" t="s">
        <v>13</v>
      </c>
      <c r="E27" s="47" t="s">
        <v>6</v>
      </c>
      <c r="F27" s="20"/>
      <c r="G27" s="20"/>
      <c r="H27" s="20"/>
      <c r="I27" s="20"/>
    </row>
    <row r="28" spans="1:9" ht="25" x14ac:dyDescent="0.25">
      <c r="A28" s="46" t="s">
        <v>29</v>
      </c>
      <c r="B28" s="70" t="s">
        <v>76</v>
      </c>
      <c r="C28" s="31">
        <v>14.146248691116083</v>
      </c>
      <c r="D28" s="70" t="s">
        <v>30</v>
      </c>
      <c r="E28" s="70" t="s">
        <v>31</v>
      </c>
      <c r="F28" s="20"/>
      <c r="G28" s="20"/>
      <c r="H28" s="20"/>
      <c r="I28" s="20"/>
    </row>
    <row r="29" spans="1:9" ht="25" x14ac:dyDescent="0.25">
      <c r="A29" s="46" t="s">
        <v>32</v>
      </c>
      <c r="B29" s="70" t="s">
        <v>76</v>
      </c>
      <c r="C29" s="31">
        <v>0.20469502833890385</v>
      </c>
      <c r="D29" s="70" t="s">
        <v>30</v>
      </c>
      <c r="E29" s="70" t="s">
        <v>17</v>
      </c>
      <c r="F29" s="20"/>
      <c r="G29" s="20"/>
      <c r="H29" s="20"/>
      <c r="I29" s="20"/>
    </row>
    <row r="30" spans="1:9" ht="37.5" x14ac:dyDescent="0.25">
      <c r="A30" s="46" t="s">
        <v>33</v>
      </c>
      <c r="B30" s="70" t="s">
        <v>76</v>
      </c>
      <c r="C30" s="31">
        <v>0</v>
      </c>
      <c r="D30" s="70" t="s">
        <v>12</v>
      </c>
      <c r="E30" s="70" t="s">
        <v>31</v>
      </c>
      <c r="F30" s="20"/>
      <c r="G30" s="20"/>
      <c r="H30" s="20"/>
      <c r="I30" s="20"/>
    </row>
    <row r="31" spans="1:9" x14ac:dyDescent="0.25">
      <c r="A31" s="15" t="s">
        <v>3</v>
      </c>
      <c r="B31" s="71" t="s">
        <v>76</v>
      </c>
      <c r="C31" s="17">
        <f>SUM(C27:C30)</f>
        <v>14.484233420308296</v>
      </c>
      <c r="D31" s="48"/>
      <c r="E31" s="48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2" x14ac:dyDescent="0.25">
      <c r="A33" s="21" t="s">
        <v>41</v>
      </c>
      <c r="B33" s="44" t="s">
        <v>2</v>
      </c>
      <c r="C33" s="76">
        <v>2024</v>
      </c>
      <c r="D33" s="22">
        <v>2025</v>
      </c>
      <c r="E33" s="22">
        <v>2026</v>
      </c>
      <c r="F33" s="22">
        <v>2027</v>
      </c>
      <c r="G33" s="22">
        <v>2028</v>
      </c>
      <c r="H33" s="22">
        <v>2029</v>
      </c>
      <c r="I33" s="44" t="s">
        <v>80</v>
      </c>
      <c r="J33" s="20"/>
    </row>
    <row r="34" spans="1:12" x14ac:dyDescent="0.25">
      <c r="A34" s="12" t="s">
        <v>4</v>
      </c>
      <c r="B34" s="70" t="s">
        <v>76</v>
      </c>
      <c r="C34" s="94">
        <f>$C$28+$C$30</f>
        <v>14.146248691116083</v>
      </c>
      <c r="D34" s="14">
        <f>$C$28+$C$30</f>
        <v>14.146248691116083</v>
      </c>
      <c r="E34" s="14">
        <f t="shared" ref="E34:H34" si="2">$C$28+$C$30</f>
        <v>14.146248691116083</v>
      </c>
      <c r="F34" s="14">
        <f t="shared" si="2"/>
        <v>14.146248691116083</v>
      </c>
      <c r="G34" s="14">
        <f t="shared" si="2"/>
        <v>14.146248691116083</v>
      </c>
      <c r="H34" s="14">
        <f t="shared" si="2"/>
        <v>14.146248691116083</v>
      </c>
      <c r="I34" s="49">
        <f>SUM(D34:H34)</f>
        <v>70.731243455580412</v>
      </c>
      <c r="J34" s="20"/>
    </row>
    <row r="35" spans="1:12" x14ac:dyDescent="0.25">
      <c r="A35" s="12" t="s">
        <v>5</v>
      </c>
      <c r="B35" s="70" t="s">
        <v>76</v>
      </c>
      <c r="C35" s="94">
        <f>$C$29</f>
        <v>0.20469502833890385</v>
      </c>
      <c r="D35" s="14">
        <f>$C$29</f>
        <v>0.20469502833890385</v>
      </c>
      <c r="E35" s="14">
        <f t="shared" ref="E35:H35" si="3">$C$29</f>
        <v>0.20469502833890385</v>
      </c>
      <c r="F35" s="14">
        <f t="shared" si="3"/>
        <v>0.20469502833890385</v>
      </c>
      <c r="G35" s="14">
        <f t="shared" si="3"/>
        <v>0.20469502833890385</v>
      </c>
      <c r="H35" s="14">
        <f t="shared" si="3"/>
        <v>0.20469502833890385</v>
      </c>
      <c r="I35" s="49">
        <f t="shared" ref="I35:I38" si="4">SUM(D35:H35)</f>
        <v>1.0234751416945191</v>
      </c>
      <c r="J35" s="20"/>
    </row>
    <row r="36" spans="1:12" x14ac:dyDescent="0.25">
      <c r="A36" s="12" t="s">
        <v>6</v>
      </c>
      <c r="B36" s="70" t="s">
        <v>76</v>
      </c>
      <c r="C36" s="94">
        <f>$C$27</f>
        <v>0.13328970085330863</v>
      </c>
      <c r="D36" s="14">
        <f>$C$27</f>
        <v>0.13328970085330863</v>
      </c>
      <c r="E36" s="14">
        <f t="shared" ref="E36:H36" si="5">$C$27</f>
        <v>0.13328970085330863</v>
      </c>
      <c r="F36" s="14">
        <f t="shared" si="5"/>
        <v>0.13328970085330863</v>
      </c>
      <c r="G36" s="14">
        <f t="shared" si="5"/>
        <v>0.13328970085330863</v>
      </c>
      <c r="H36" s="14">
        <f t="shared" si="5"/>
        <v>0.13328970085330863</v>
      </c>
      <c r="I36" s="49">
        <f t="shared" si="4"/>
        <v>0.66644850426654312</v>
      </c>
      <c r="J36" s="20"/>
    </row>
    <row r="37" spans="1:12" x14ac:dyDescent="0.25">
      <c r="A37" s="12" t="s">
        <v>7</v>
      </c>
      <c r="B37" s="70" t="s">
        <v>76</v>
      </c>
      <c r="C37" s="9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49">
        <f>SUM(D37:H37)</f>
        <v>0</v>
      </c>
      <c r="J37" s="20"/>
    </row>
    <row r="38" spans="1:12" x14ac:dyDescent="0.25">
      <c r="A38" s="12" t="s">
        <v>8</v>
      </c>
      <c r="B38" s="70" t="s">
        <v>76</v>
      </c>
      <c r="C38" s="9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49">
        <f t="shared" si="4"/>
        <v>0</v>
      </c>
      <c r="J38" s="20"/>
    </row>
    <row r="39" spans="1:12" x14ac:dyDescent="0.25">
      <c r="A39" s="15" t="s">
        <v>3</v>
      </c>
      <c r="B39" s="71" t="s">
        <v>76</v>
      </c>
      <c r="C39" s="95">
        <f>SUM(C34:C38)</f>
        <v>14.484233420308296</v>
      </c>
      <c r="D39" s="17">
        <f>SUM(D34:D38)</f>
        <v>14.484233420308296</v>
      </c>
      <c r="E39" s="17">
        <f t="shared" ref="E39:H39" si="6">SUM(E34:E38)</f>
        <v>14.484233420308296</v>
      </c>
      <c r="F39" s="17">
        <f t="shared" si="6"/>
        <v>14.484233420308296</v>
      </c>
      <c r="G39" s="17">
        <f t="shared" si="6"/>
        <v>14.484233420308296</v>
      </c>
      <c r="H39" s="17">
        <f t="shared" si="6"/>
        <v>14.484233420308296</v>
      </c>
      <c r="I39" s="17">
        <f>SUM(I34:I38)</f>
        <v>72.421167101541471</v>
      </c>
      <c r="J39" s="20"/>
    </row>
    <row r="40" spans="1:12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2" x14ac:dyDescent="0.25">
      <c r="A41" s="38" t="s">
        <v>36</v>
      </c>
      <c r="B41" s="39" t="s">
        <v>2</v>
      </c>
      <c r="C41" s="76">
        <v>2024</v>
      </c>
      <c r="D41" s="44">
        <v>2025</v>
      </c>
      <c r="E41" s="44">
        <v>2026</v>
      </c>
      <c r="F41" s="44">
        <v>2027</v>
      </c>
      <c r="G41" s="44">
        <v>2028</v>
      </c>
      <c r="H41" s="44">
        <v>2029</v>
      </c>
      <c r="I41" s="44" t="s">
        <v>80</v>
      </c>
      <c r="J41" s="20"/>
    </row>
    <row r="42" spans="1:12" x14ac:dyDescent="0.25">
      <c r="A42" s="12" t="s">
        <v>4</v>
      </c>
      <c r="B42" s="70" t="s">
        <v>76</v>
      </c>
      <c r="C42" s="94">
        <f t="shared" ref="C42:H46" si="7">C34*(C$24-1)</f>
        <v>8.2485415108548232E-2</v>
      </c>
      <c r="D42" s="14">
        <f t="shared" si="7"/>
        <v>0.16545179473668017</v>
      </c>
      <c r="E42" s="14">
        <f t="shared" si="7"/>
        <v>0.24890194334223603</v>
      </c>
      <c r="F42" s="14">
        <f t="shared" si="7"/>
        <v>0.33283868173557862</v>
      </c>
      <c r="G42" s="14">
        <f t="shared" si="7"/>
        <v>0.41726484717494788</v>
      </c>
      <c r="H42" s="14">
        <f t="shared" si="7"/>
        <v>0.50218329346235835</v>
      </c>
      <c r="I42" s="49">
        <f>SUM(D42:H42)</f>
        <v>1.6666405604518011</v>
      </c>
      <c r="J42" s="20"/>
    </row>
    <row r="43" spans="1:12" x14ac:dyDescent="0.25">
      <c r="A43" s="12" t="s">
        <v>5</v>
      </c>
      <c r="B43" s="70" t="s">
        <v>76</v>
      </c>
      <c r="C43" s="94">
        <f t="shared" si="7"/>
        <v>1.19355701655337E-3</v>
      </c>
      <c r="D43" s="14">
        <f t="shared" si="7"/>
        <v>2.3940735492382517E-3</v>
      </c>
      <c r="E43" s="14">
        <f t="shared" si="7"/>
        <v>3.6015901783236336E-3</v>
      </c>
      <c r="F43" s="14">
        <f t="shared" si="7"/>
        <v>4.8161477206981329E-3</v>
      </c>
      <c r="G43" s="14">
        <f t="shared" si="7"/>
        <v>6.0377872312497617E-3</v>
      </c>
      <c r="H43" s="14">
        <f t="shared" si="7"/>
        <v>7.2665500042535611E-3</v>
      </c>
      <c r="I43" s="49">
        <f t="shared" ref="I43:I46" si="8">SUM(D43:H43)</f>
        <v>2.4116148683763342E-2</v>
      </c>
      <c r="J43" s="20"/>
    </row>
    <row r="44" spans="1:12" x14ac:dyDescent="0.25">
      <c r="A44" s="12" t="s">
        <v>6</v>
      </c>
      <c r="B44" s="70" t="s">
        <v>76</v>
      </c>
      <c r="C44" s="94">
        <f t="shared" si="7"/>
        <v>7.7719942188517817E-4</v>
      </c>
      <c r="D44" s="14">
        <f t="shared" si="7"/>
        <v>1.5589306188250837E-3</v>
      </c>
      <c r="E44" s="14">
        <f t="shared" si="7"/>
        <v>2.3452200151640591E-3</v>
      </c>
      <c r="F44" s="14">
        <f t="shared" si="7"/>
        <v>3.1360941893242462E-3</v>
      </c>
      <c r="G44" s="14">
        <f t="shared" si="7"/>
        <v>3.9315798747040385E-3</v>
      </c>
      <c r="H44" s="14">
        <f t="shared" si="7"/>
        <v>4.7317039605816562E-3</v>
      </c>
      <c r="I44" s="49">
        <f t="shared" si="8"/>
        <v>1.5703528658599083E-2</v>
      </c>
      <c r="J44" s="20"/>
    </row>
    <row r="45" spans="1:12" x14ac:dyDescent="0.25">
      <c r="A45" s="12" t="s">
        <v>7</v>
      </c>
      <c r="B45" s="70" t="s">
        <v>76</v>
      </c>
      <c r="C45" s="94">
        <f t="shared" si="7"/>
        <v>0</v>
      </c>
      <c r="D45" s="14">
        <f t="shared" si="7"/>
        <v>0</v>
      </c>
      <c r="E45" s="14">
        <f t="shared" si="7"/>
        <v>0</v>
      </c>
      <c r="F45" s="14">
        <f t="shared" si="7"/>
        <v>0</v>
      </c>
      <c r="G45" s="14">
        <f t="shared" si="7"/>
        <v>0</v>
      </c>
      <c r="H45" s="14">
        <f t="shared" si="7"/>
        <v>0</v>
      </c>
      <c r="I45" s="49">
        <f t="shared" si="8"/>
        <v>0</v>
      </c>
      <c r="J45" s="20"/>
    </row>
    <row r="46" spans="1:12" x14ac:dyDescent="0.25">
      <c r="A46" s="12" t="s">
        <v>8</v>
      </c>
      <c r="B46" s="70" t="s">
        <v>76</v>
      </c>
      <c r="C46" s="94">
        <f t="shared" si="7"/>
        <v>0</v>
      </c>
      <c r="D46" s="14">
        <f t="shared" si="7"/>
        <v>0</v>
      </c>
      <c r="E46" s="14">
        <f t="shared" si="7"/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49">
        <f t="shared" si="8"/>
        <v>0</v>
      </c>
      <c r="J46" s="20"/>
    </row>
    <row r="47" spans="1:12" x14ac:dyDescent="0.25">
      <c r="A47" s="15" t="s">
        <v>3</v>
      </c>
      <c r="B47" s="71" t="s">
        <v>76</v>
      </c>
      <c r="C47" s="95">
        <f>SUM(C42:C46)</f>
        <v>8.4456171546986772E-2</v>
      </c>
      <c r="D47" s="17">
        <f>SUM(D42:D46)</f>
        <v>0.16940479890474353</v>
      </c>
      <c r="E47" s="17">
        <f t="shared" ref="E47" si="9">SUM(E42:E46)</f>
        <v>0.25484875353572373</v>
      </c>
      <c r="F47" s="17">
        <f>SUM(F42:F46)</f>
        <v>0.34079092364560104</v>
      </c>
      <c r="G47" s="17">
        <f t="shared" ref="G47" si="10">SUM(G42:G46)</f>
        <v>0.42723421428090169</v>
      </c>
      <c r="H47" s="17">
        <f t="shared" ref="H47" si="11">SUM(H42:H46)</f>
        <v>0.51418154742719357</v>
      </c>
      <c r="I47" s="17">
        <f>SUM(I42:I46)</f>
        <v>1.7064602377941636</v>
      </c>
      <c r="J47" s="20"/>
      <c r="L47" s="10"/>
    </row>
    <row r="49" spans="2:4" x14ac:dyDescent="0.25">
      <c r="B49" s="6"/>
      <c r="C49" s="6"/>
      <c r="D49" s="6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C714-7D00-4CE7-A37A-A233E3B49947}">
  <dimension ref="A13:J22"/>
  <sheetViews>
    <sheetView showGridLines="0" zoomScale="130" zoomScaleNormal="130" workbookViewId="0">
      <selection activeCell="M45" sqref="M45"/>
    </sheetView>
  </sheetViews>
  <sheetFormatPr defaultColWidth="8.7265625" defaultRowHeight="13.5" x14ac:dyDescent="0.25"/>
  <cols>
    <col min="1" max="1" width="38" style="1" customWidth="1"/>
    <col min="2" max="2" width="24.36328125" style="1" customWidth="1"/>
    <col min="3" max="4" width="12" style="1" customWidth="1"/>
    <col min="5" max="5" width="11.81640625" style="1" customWidth="1"/>
    <col min="6" max="6" width="10.81640625" style="1" customWidth="1"/>
    <col min="7" max="7" width="11.81640625" style="1" customWidth="1"/>
    <col min="8" max="8" width="9.7265625" style="1" customWidth="1"/>
    <col min="9" max="9" width="9.81640625" style="1" customWidth="1"/>
    <col min="10" max="10" width="9.26953125" style="1" customWidth="1"/>
    <col min="11" max="16384" width="8.7265625" style="1"/>
  </cols>
  <sheetData>
    <row r="13" spans="1:10" ht="14" thickBot="1" x14ac:dyDescent="0.3"/>
    <row r="14" spans="1:10" ht="18.5" thickTop="1" thickBot="1" x14ac:dyDescent="0.3">
      <c r="A14" s="4" t="s">
        <v>42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14" thickTop="1" x14ac:dyDescent="0.25"/>
    <row r="16" spans="1:10" ht="21" customHeight="1" x14ac:dyDescent="0.25">
      <c r="A16" s="50" t="s">
        <v>53</v>
      </c>
      <c r="B16" s="50" t="s">
        <v>11</v>
      </c>
      <c r="C16" s="44" t="s">
        <v>2</v>
      </c>
      <c r="D16" s="96">
        <v>2024</v>
      </c>
      <c r="E16" s="44">
        <v>2025</v>
      </c>
      <c r="F16" s="44">
        <v>2026</v>
      </c>
      <c r="G16" s="44">
        <v>2027</v>
      </c>
      <c r="H16" s="44">
        <v>2028</v>
      </c>
      <c r="I16" s="44">
        <v>2029</v>
      </c>
      <c r="J16" s="44" t="s">
        <v>80</v>
      </c>
    </row>
    <row r="17" spans="1:10" x14ac:dyDescent="0.25">
      <c r="A17" s="12" t="s">
        <v>62</v>
      </c>
      <c r="B17" s="12" t="s">
        <v>6</v>
      </c>
      <c r="C17" s="13" t="s">
        <v>76</v>
      </c>
      <c r="D17" s="97">
        <v>0.27407101491031272</v>
      </c>
      <c r="E17" s="77">
        <v>0.55228276332030279</v>
      </c>
      <c r="F17" s="77">
        <v>0.70337030520553012</v>
      </c>
      <c r="G17" s="77">
        <v>0.72502221018640423</v>
      </c>
      <c r="H17" s="77">
        <v>0.72970808701298639</v>
      </c>
      <c r="I17" s="77">
        <v>0.77106309218525315</v>
      </c>
      <c r="J17" s="78">
        <f>SUM(E17:I17)</f>
        <v>3.4814464579104767</v>
      </c>
    </row>
    <row r="18" spans="1:10" x14ac:dyDescent="0.25">
      <c r="A18" s="42" t="s">
        <v>54</v>
      </c>
      <c r="B18" s="42" t="s">
        <v>7</v>
      </c>
      <c r="C18" s="13" t="s">
        <v>76</v>
      </c>
      <c r="D18" s="97">
        <v>0</v>
      </c>
      <c r="E18" s="77">
        <v>0</v>
      </c>
      <c r="F18" s="77">
        <v>0.184</v>
      </c>
      <c r="G18" s="77">
        <v>0.28000000000000003</v>
      </c>
      <c r="H18" s="77">
        <v>0.85</v>
      </c>
      <c r="I18" s="77">
        <v>0.28000000000000003</v>
      </c>
      <c r="J18" s="78">
        <f>SUM(E18:I18)</f>
        <v>1.5940000000000001</v>
      </c>
    </row>
    <row r="19" spans="1:10" x14ac:dyDescent="0.25">
      <c r="A19" s="12" t="s">
        <v>58</v>
      </c>
      <c r="B19" s="12" t="s">
        <v>8</v>
      </c>
      <c r="C19" s="13" t="s">
        <v>76</v>
      </c>
      <c r="D19" s="97">
        <f>543155/10^6</f>
        <v>0.54315500000000005</v>
      </c>
      <c r="E19" s="77">
        <f>469291.034315035/1000000</f>
        <v>0.46929103431503499</v>
      </c>
      <c r="F19" s="77">
        <f>427364.134473987/1000000</f>
        <v>0.42736413447398697</v>
      </c>
      <c r="G19" s="77">
        <f>380608.724045268/1000000</f>
        <v>0.38060872404526802</v>
      </c>
      <c r="H19" s="77">
        <f>333680.482247945/1000000</f>
        <v>0.333680482247945</v>
      </c>
      <c r="I19" s="77">
        <f>317531.660976859/1000000</f>
        <v>0.31753166097685898</v>
      </c>
      <c r="J19" s="78">
        <f>SUM(E19:I19)</f>
        <v>1.928476036059094</v>
      </c>
    </row>
    <row r="20" spans="1:10" x14ac:dyDescent="0.25">
      <c r="A20" s="15" t="s">
        <v>3</v>
      </c>
      <c r="B20" s="15"/>
      <c r="C20" s="16" t="s">
        <v>76</v>
      </c>
      <c r="D20" s="98">
        <f>SUM(D17:D19)</f>
        <v>0.81722601491031277</v>
      </c>
      <c r="E20" s="78">
        <f>SUM(E17:E19)</f>
        <v>1.0215737976353378</v>
      </c>
      <c r="F20" s="78">
        <f t="shared" ref="F20:J20" si="0">SUM(F17:F19)</f>
        <v>1.3147344396795171</v>
      </c>
      <c r="G20" s="78">
        <f t="shared" si="0"/>
        <v>1.3856309342316722</v>
      </c>
      <c r="H20" s="78">
        <f t="shared" si="0"/>
        <v>1.9133885692609311</v>
      </c>
      <c r="I20" s="78">
        <f t="shared" si="0"/>
        <v>1.3685947531621123</v>
      </c>
      <c r="J20" s="78">
        <f t="shared" si="0"/>
        <v>7.0039224939695712</v>
      </c>
    </row>
    <row r="21" spans="1:1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7ADD-9833-49D3-9586-196011157E8C}">
  <dimension ref="A13:M27"/>
  <sheetViews>
    <sheetView showGridLines="0" zoomScale="130" zoomScaleNormal="130" workbookViewId="0">
      <selection activeCell="L14" sqref="L14"/>
    </sheetView>
  </sheetViews>
  <sheetFormatPr defaultColWidth="8.7265625" defaultRowHeight="13.5" x14ac:dyDescent="0.25"/>
  <cols>
    <col min="1" max="1" width="41" style="1" customWidth="1"/>
    <col min="2" max="2" width="12.08984375" style="1" bestFit="1" customWidth="1"/>
    <col min="3" max="3" width="10.6328125" style="1" customWidth="1"/>
    <col min="4" max="8" width="9" style="1" bestFit="1" customWidth="1"/>
    <col min="9" max="9" width="13.453125" style="1" bestFit="1" customWidth="1"/>
    <col min="10" max="16384" width="8.7265625" style="1"/>
  </cols>
  <sheetData>
    <row r="13" spans="1:9" ht="14" thickBot="1" x14ac:dyDescent="0.3"/>
    <row r="14" spans="1:9" ht="21.65" customHeight="1" thickTop="1" thickBot="1" x14ac:dyDescent="0.3">
      <c r="A14" s="4" t="s">
        <v>90</v>
      </c>
      <c r="B14" s="4"/>
      <c r="C14" s="4"/>
      <c r="D14" s="4"/>
      <c r="E14" s="4"/>
      <c r="F14" s="4"/>
      <c r="G14" s="4"/>
      <c r="H14" s="4"/>
      <c r="I14" s="4"/>
    </row>
    <row r="15" spans="1:9" ht="14" thickTop="1" x14ac:dyDescent="0.25"/>
    <row r="16" spans="1:9" x14ac:dyDescent="0.25">
      <c r="A16" s="21" t="s">
        <v>34</v>
      </c>
      <c r="B16" s="44" t="s">
        <v>2</v>
      </c>
      <c r="C16" s="76">
        <v>2024</v>
      </c>
      <c r="D16" s="22">
        <v>2025</v>
      </c>
      <c r="E16" s="22">
        <v>2026</v>
      </c>
      <c r="F16" s="22">
        <v>2027</v>
      </c>
      <c r="G16" s="22">
        <v>2028</v>
      </c>
      <c r="H16" s="22">
        <v>2029</v>
      </c>
      <c r="I16" s="22" t="s">
        <v>80</v>
      </c>
    </row>
    <row r="17" spans="1:13" x14ac:dyDescent="0.25">
      <c r="A17" s="79" t="s">
        <v>50</v>
      </c>
      <c r="B17" s="52" t="s">
        <v>76</v>
      </c>
      <c r="C17" s="103">
        <f>'4. Base year'!$C$27+'4. Base year'!C25+'4. Base year'!C26</f>
        <v>26.486469970531747</v>
      </c>
      <c r="D17" s="53">
        <f>'4. Base year'!$C$27</f>
        <v>23.931016022128141</v>
      </c>
      <c r="E17" s="53">
        <f>'4. Base year'!$C$27</f>
        <v>23.931016022128141</v>
      </c>
      <c r="F17" s="53">
        <f>'4. Base year'!$C$27</f>
        <v>23.931016022128141</v>
      </c>
      <c r="G17" s="53">
        <f>'4. Base year'!$C$27</f>
        <v>23.931016022128141</v>
      </c>
      <c r="H17" s="53">
        <f>'4. Base year'!$C$27</f>
        <v>23.931016022128141</v>
      </c>
      <c r="I17" s="53">
        <f>SUM(D17:H17)</f>
        <v>119.65508011064071</v>
      </c>
    </row>
    <row r="18" spans="1:13" x14ac:dyDescent="0.25">
      <c r="A18" s="85" t="s">
        <v>49</v>
      </c>
      <c r="B18" s="86"/>
      <c r="C18" s="86"/>
      <c r="D18" s="86"/>
      <c r="E18" s="86"/>
      <c r="F18" s="86"/>
      <c r="G18" s="86"/>
      <c r="H18" s="86"/>
      <c r="I18" s="87"/>
    </row>
    <row r="19" spans="1:13" x14ac:dyDescent="0.25">
      <c r="A19" s="80" t="s">
        <v>35</v>
      </c>
      <c r="B19" s="52" t="s">
        <v>76</v>
      </c>
      <c r="C19" s="104">
        <v>1.7743131060215738</v>
      </c>
      <c r="D19" s="106">
        <v>1.5350911478307707</v>
      </c>
      <c r="E19" s="106">
        <v>1.3939427202578227</v>
      </c>
      <c r="F19" s="106">
        <v>1.2469725781288132</v>
      </c>
      <c r="G19" s="106">
        <v>1.1480103910203567</v>
      </c>
      <c r="H19" s="106">
        <v>1.1480103910203567</v>
      </c>
      <c r="I19" s="105">
        <f>SUM(D19:H19)</f>
        <v>6.4720272282581206</v>
      </c>
    </row>
    <row r="20" spans="1:13" ht="25" x14ac:dyDescent="0.25">
      <c r="A20" s="79" t="s">
        <v>51</v>
      </c>
      <c r="B20" s="52" t="s">
        <v>76</v>
      </c>
      <c r="C20" s="103">
        <f>C17+C19</f>
        <v>28.26078307655332</v>
      </c>
      <c r="D20" s="53">
        <f>D17+D19</f>
        <v>25.46610716995891</v>
      </c>
      <c r="E20" s="53">
        <f t="shared" ref="E20:H20" si="0">E17+E19</f>
        <v>25.324958742385963</v>
      </c>
      <c r="F20" s="53">
        <f t="shared" si="0"/>
        <v>25.177988600256953</v>
      </c>
      <c r="G20" s="53">
        <f t="shared" si="0"/>
        <v>25.079026413148497</v>
      </c>
      <c r="H20" s="53">
        <f t="shared" si="0"/>
        <v>25.079026413148497</v>
      </c>
      <c r="I20" s="53">
        <f>I17+I19</f>
        <v>126.12710733889884</v>
      </c>
      <c r="M20" s="9"/>
    </row>
    <row r="21" spans="1:13" x14ac:dyDescent="0.25">
      <c r="A21" s="81" t="s">
        <v>55</v>
      </c>
      <c r="B21" s="54"/>
      <c r="C21" s="54"/>
      <c r="D21" s="54"/>
      <c r="E21" s="54"/>
      <c r="F21" s="54"/>
      <c r="G21" s="54"/>
      <c r="H21" s="54"/>
      <c r="I21" s="55"/>
      <c r="M21" s="9"/>
    </row>
    <row r="22" spans="1:13" x14ac:dyDescent="0.25">
      <c r="A22" s="79" t="str">
        <f>'6. Step changes'!A17</f>
        <v>Safeguard mechanism initiatives</v>
      </c>
      <c r="B22" s="52" t="s">
        <v>76</v>
      </c>
      <c r="C22" s="104">
        <f>'6. Step changes'!D17</f>
        <v>0.27407101491031272</v>
      </c>
      <c r="D22" s="105">
        <f>'6. Step changes'!E17</f>
        <v>0.55228276332030279</v>
      </c>
      <c r="E22" s="105">
        <f>'6. Step changes'!F17</f>
        <v>0.70337030520553012</v>
      </c>
      <c r="F22" s="105">
        <f>'6. Step changes'!G17</f>
        <v>0.72502221018640423</v>
      </c>
      <c r="G22" s="105">
        <f>'6. Step changes'!H17</f>
        <v>0.72970808701298639</v>
      </c>
      <c r="H22" s="105">
        <f>'6. Step changes'!I17</f>
        <v>0.77106309218525315</v>
      </c>
      <c r="I22" s="105">
        <f>SUM(D22:H22)</f>
        <v>3.4814464579104767</v>
      </c>
    </row>
    <row r="23" spans="1:13" x14ac:dyDescent="0.25">
      <c r="A23" s="79" t="str">
        <f>'6. Step changes'!A18</f>
        <v>AA6 regulatory proposal</v>
      </c>
      <c r="B23" s="52" t="s">
        <v>76</v>
      </c>
      <c r="C23" s="104">
        <f>'6. Step changes'!D18</f>
        <v>0</v>
      </c>
      <c r="D23" s="105">
        <f>'6. Step changes'!E18</f>
        <v>0</v>
      </c>
      <c r="E23" s="105">
        <f>'6. Step changes'!F18</f>
        <v>0.184</v>
      </c>
      <c r="F23" s="105">
        <f>'6. Step changes'!G18</f>
        <v>0.28000000000000003</v>
      </c>
      <c r="G23" s="105">
        <f>'6. Step changes'!H18</f>
        <v>0.85</v>
      </c>
      <c r="H23" s="105">
        <f>'6. Step changes'!I18</f>
        <v>0.28000000000000003</v>
      </c>
      <c r="I23" s="105">
        <f>SUM(D23:H23)</f>
        <v>1.5940000000000001</v>
      </c>
    </row>
    <row r="24" spans="1:13" x14ac:dyDescent="0.25">
      <c r="A24" s="82" t="s">
        <v>58</v>
      </c>
      <c r="B24" s="52" t="s">
        <v>76</v>
      </c>
      <c r="C24" s="104">
        <f>'6. Step changes'!D19</f>
        <v>0.54315500000000005</v>
      </c>
      <c r="D24" s="105">
        <f>'6. Step changes'!E19</f>
        <v>0.46929103431503499</v>
      </c>
      <c r="E24" s="105">
        <f>'6. Step changes'!F19</f>
        <v>0.42736413447398697</v>
      </c>
      <c r="F24" s="105">
        <f>'6. Step changes'!G19</f>
        <v>0.38060872404526802</v>
      </c>
      <c r="G24" s="105">
        <f>'6. Step changes'!H19</f>
        <v>0.333680482247945</v>
      </c>
      <c r="H24" s="105">
        <f>'6. Step changes'!I19</f>
        <v>0.31753166097685898</v>
      </c>
      <c r="I24" s="105">
        <f>SUM(D24:H24)</f>
        <v>1.928476036059094</v>
      </c>
    </row>
    <row r="25" spans="1:13" x14ac:dyDescent="0.25">
      <c r="A25" s="85" t="s">
        <v>52</v>
      </c>
      <c r="B25" s="86"/>
      <c r="C25" s="86"/>
      <c r="D25" s="86"/>
      <c r="E25" s="86"/>
      <c r="F25" s="86"/>
      <c r="G25" s="86"/>
      <c r="H25" s="86"/>
      <c r="I25" s="87"/>
    </row>
    <row r="26" spans="1:13" x14ac:dyDescent="0.25">
      <c r="A26" s="80" t="s">
        <v>36</v>
      </c>
      <c r="B26" s="52" t="s">
        <v>76</v>
      </c>
      <c r="C26" s="99">
        <f>'5. Escalation'!C47</f>
        <v>8.4456171546986772E-2</v>
      </c>
      <c r="D26" s="52">
        <f>'5. Escalation'!D47</f>
        <v>0.16940479890474353</v>
      </c>
      <c r="E26" s="52">
        <f>'5. Escalation'!E47</f>
        <v>0.25484875353572373</v>
      </c>
      <c r="F26" s="52">
        <f>'5. Escalation'!F47</f>
        <v>0.34079092364560104</v>
      </c>
      <c r="G26" s="52">
        <f>'5. Escalation'!G47</f>
        <v>0.42723421428090169</v>
      </c>
      <c r="H26" s="52">
        <f>'5. Escalation'!H47</f>
        <v>0.51418154742719357</v>
      </c>
      <c r="I26" s="52">
        <f>SUM(D26:H26)</f>
        <v>1.7064602377941636</v>
      </c>
    </row>
    <row r="27" spans="1:13" x14ac:dyDescent="0.25">
      <c r="A27" s="83" t="s">
        <v>9</v>
      </c>
      <c r="B27" s="53" t="s">
        <v>76</v>
      </c>
      <c r="C27" s="100">
        <f>C20+C22+C23+C24+C26</f>
        <v>29.162465263010617</v>
      </c>
      <c r="D27" s="57">
        <f>D20+D22+D23+D24+D26</f>
        <v>26.657085766498991</v>
      </c>
      <c r="E27" s="57">
        <f t="shared" ref="E27:H27" si="1">E20+E22+E23+E24+E26</f>
        <v>26.894541935601207</v>
      </c>
      <c r="F27" s="57">
        <f t="shared" si="1"/>
        <v>26.904410458134222</v>
      </c>
      <c r="G27" s="57">
        <f t="shared" si="1"/>
        <v>27.419649196690333</v>
      </c>
      <c r="H27" s="57">
        <f t="shared" si="1"/>
        <v>26.961802713737804</v>
      </c>
      <c r="I27" s="57">
        <f>I20+I22+I23+I24+I26</f>
        <v>134.83749007066257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5E8B-2514-41ED-8FF8-186F40EB1BCE}">
  <dimension ref="A13:O30"/>
  <sheetViews>
    <sheetView showGridLines="0" zoomScale="145" zoomScaleNormal="145" workbookViewId="0">
      <selection activeCell="I30" sqref="I30"/>
    </sheetView>
  </sheetViews>
  <sheetFormatPr defaultColWidth="8.7265625" defaultRowHeight="13.5" x14ac:dyDescent="0.25"/>
  <cols>
    <col min="1" max="1" width="26.453125" style="1" customWidth="1"/>
    <col min="2" max="3" width="11.7265625" style="1" customWidth="1"/>
    <col min="4" max="7" width="8.81640625" style="1" bestFit="1" customWidth="1"/>
    <col min="8" max="8" width="9.453125" style="1" bestFit="1" customWidth="1"/>
    <col min="9" max="9" width="14.54296875" style="1" customWidth="1"/>
    <col min="10" max="16384" width="8.7265625" style="1"/>
  </cols>
  <sheetData>
    <row r="13" spans="1:13" ht="14" thickBot="1" x14ac:dyDescent="0.3"/>
    <row r="14" spans="1:13" ht="19.5" customHeight="1" thickTop="1" thickBot="1" x14ac:dyDescent="0.4">
      <c r="A14" s="4" t="s">
        <v>89</v>
      </c>
      <c r="B14" s="4"/>
      <c r="C14" s="4"/>
      <c r="D14" s="4"/>
      <c r="E14" s="4"/>
      <c r="F14" s="4"/>
      <c r="G14" s="4"/>
      <c r="H14" s="4"/>
      <c r="I14" s="4"/>
      <c r="J14"/>
      <c r="K14"/>
      <c r="L14"/>
      <c r="M14"/>
    </row>
    <row r="15" spans="1:13" ht="14.5" thickTop="1" x14ac:dyDescent="0.3">
      <c r="A15" s="74"/>
    </row>
    <row r="16" spans="1:13" ht="16.5" customHeight="1" x14ac:dyDescent="0.25">
      <c r="A16" s="75" t="s">
        <v>1</v>
      </c>
      <c r="B16" s="76" t="s">
        <v>2</v>
      </c>
      <c r="C16" s="76">
        <v>2024</v>
      </c>
      <c r="D16" s="76">
        <v>2025</v>
      </c>
      <c r="E16" s="76">
        <v>2026</v>
      </c>
      <c r="F16" s="76">
        <v>2027</v>
      </c>
      <c r="G16" s="76">
        <v>2028</v>
      </c>
      <c r="H16" s="76">
        <v>2029</v>
      </c>
      <c r="I16" s="76" t="s">
        <v>80</v>
      </c>
    </row>
    <row r="17" spans="1:15" x14ac:dyDescent="0.25">
      <c r="A17" s="12" t="s">
        <v>4</v>
      </c>
      <c r="B17" s="51" t="s">
        <v>76</v>
      </c>
      <c r="C17" s="101">
        <f>'4. Base year'!$C31+'5. Escalation'!C42+'4. Base year'!C25+'4. Base year'!C26</f>
        <v>17.161249359179021</v>
      </c>
      <c r="D17" s="84">
        <f>'4. Base year'!$C31+'5. Escalation'!D42</f>
        <v>14.688761790403548</v>
      </c>
      <c r="E17" s="84">
        <f>'4. Base year'!$C31+'5. Escalation'!E42</f>
        <v>14.772211939009104</v>
      </c>
      <c r="F17" s="84">
        <f>'4. Base year'!$C31+'5. Escalation'!F42</f>
        <v>14.856148677402446</v>
      </c>
      <c r="G17" s="84">
        <f>'4. Base year'!$C31+'5. Escalation'!G42</f>
        <v>14.940574842841816</v>
      </c>
      <c r="H17" s="84">
        <f>'4. Base year'!$C31+'5. Escalation'!H42</f>
        <v>15.025493289129226</v>
      </c>
      <c r="I17" s="17">
        <f>SUM(D17:H17)</f>
        <v>74.283190538786144</v>
      </c>
    </row>
    <row r="18" spans="1:15" x14ac:dyDescent="0.25">
      <c r="A18" s="12" t="s">
        <v>5</v>
      </c>
      <c r="B18" s="51" t="s">
        <v>76</v>
      </c>
      <c r="C18" s="101">
        <f>'4. Base year'!$C32+'5. Escalation'!C43</f>
        <v>0.20588858535545723</v>
      </c>
      <c r="D18" s="84">
        <f>'4. Base year'!$C32+'5. Escalation'!D43</f>
        <v>0.20708910188814211</v>
      </c>
      <c r="E18" s="84">
        <f>'4. Base year'!$C32+'5. Escalation'!E43</f>
        <v>0.20829661851722747</v>
      </c>
      <c r="F18" s="84">
        <f>'4. Base year'!$C32+'5. Escalation'!F43</f>
        <v>0.20951117605960198</v>
      </c>
      <c r="G18" s="84">
        <f>'4. Base year'!$C32+'5. Escalation'!G43</f>
        <v>0.21073281557015361</v>
      </c>
      <c r="H18" s="84">
        <f>'4. Base year'!$C32+'5. Escalation'!H43</f>
        <v>0.2119615783431574</v>
      </c>
      <c r="I18" s="17">
        <f t="shared" ref="I18:I22" si="0">SUM(D18:H18)</f>
        <v>1.0475912903782827</v>
      </c>
    </row>
    <row r="19" spans="1:15" x14ac:dyDescent="0.25">
      <c r="A19" s="12" t="s">
        <v>6</v>
      </c>
      <c r="B19" s="51" t="s">
        <v>76</v>
      </c>
      <c r="C19" s="101">
        <f>'4. Base year'!$C33+'5. Escalation'!C44+'6. Step changes'!D17</f>
        <v>0.87731966910087578</v>
      </c>
      <c r="D19" s="84">
        <f>'4. Base year'!$C33+'5. Escalation'!D44+'6. Step changes'!E17</f>
        <v>1.1563131487078058</v>
      </c>
      <c r="E19" s="84">
        <f>'4. Base year'!$C33+'5. Escalation'!E44+'6. Step changes'!F17</f>
        <v>1.3081869799893719</v>
      </c>
      <c r="F19" s="84">
        <f>'4. Base year'!$C33+'5. Escalation'!F44+'6. Step changes'!G17</f>
        <v>1.3306297591444065</v>
      </c>
      <c r="G19" s="84">
        <f>'4. Base year'!$C33+'5. Escalation'!G44+'6. Step changes'!H17</f>
        <v>1.3361111216563684</v>
      </c>
      <c r="H19" s="84">
        <f>'4. Base year'!$C33+'5. Escalation'!H44+'6. Step changes'!I17</f>
        <v>1.3782662509145127</v>
      </c>
      <c r="I19" s="17">
        <f t="shared" si="0"/>
        <v>6.5095072604124642</v>
      </c>
    </row>
    <row r="20" spans="1:15" x14ac:dyDescent="0.25">
      <c r="A20" s="12" t="s">
        <v>7</v>
      </c>
      <c r="B20" s="51" t="s">
        <v>76</v>
      </c>
      <c r="C20" s="101">
        <f>'4. Base year'!$C34+'5. Escalation'!C45+'6. Step changes'!D18</f>
        <v>0.51574696499999995</v>
      </c>
      <c r="D20" s="84">
        <f>'4. Base year'!$C34+'5. Escalation'!D45+'6. Step changes'!E18</f>
        <v>0.51574696499999995</v>
      </c>
      <c r="E20" s="84">
        <f>'4. Base year'!$C34+'5. Escalation'!E45+'6. Step changes'!F18</f>
        <v>0.69974696499999989</v>
      </c>
      <c r="F20" s="84">
        <f>'4. Base year'!$C34+'5. Escalation'!F45+'6. Step changes'!G18</f>
        <v>0.79574696499999997</v>
      </c>
      <c r="G20" s="84">
        <f>'4. Base year'!$C34+'5. Escalation'!G45+'6. Step changes'!H18</f>
        <v>1.365746965</v>
      </c>
      <c r="H20" s="84">
        <f>'4. Base year'!$C34+'5. Escalation'!H45+'6. Step changes'!I18</f>
        <v>0.79574696499999997</v>
      </c>
      <c r="I20" s="17">
        <f t="shared" si="0"/>
        <v>4.172734825</v>
      </c>
    </row>
    <row r="21" spans="1:15" x14ac:dyDescent="0.25">
      <c r="A21" s="12" t="s">
        <v>8</v>
      </c>
      <c r="B21" s="51" t="s">
        <v>76</v>
      </c>
      <c r="C21" s="101">
        <f>'4. Base year'!$C35+'6. Step changes'!D19+'7. AA5 forecast summary'!C19</f>
        <v>10.402260684375266</v>
      </c>
      <c r="D21" s="84">
        <f>'4. Base year'!$C35+'6. Step changes'!E19+'7. AA5 forecast summary'!D19</f>
        <v>10.089174760499498</v>
      </c>
      <c r="E21" s="84">
        <f>'4. Base year'!$C35+'6. Step changes'!F19+'7. AA5 forecast summary'!E19</f>
        <v>9.906099433085501</v>
      </c>
      <c r="F21" s="84">
        <f>'4. Base year'!$C35+'6. Step changes'!G19+'7. AA5 forecast summary'!F19</f>
        <v>9.7123738805277746</v>
      </c>
      <c r="G21" s="84">
        <f>'4. Base year'!$C35+'6. Step changes'!H19+'7. AA5 forecast summary'!G19</f>
        <v>9.5664834516219948</v>
      </c>
      <c r="H21" s="84">
        <f>'4. Base year'!$C35+'6. Step changes'!I19+'7. AA5 forecast summary'!H19</f>
        <v>9.5503346303509087</v>
      </c>
      <c r="I21" s="17">
        <f>SUM(D21:H21)</f>
        <v>48.824466156085677</v>
      </c>
      <c r="M21" s="9"/>
    </row>
    <row r="22" spans="1:15" x14ac:dyDescent="0.25">
      <c r="A22" s="15" t="s">
        <v>9</v>
      </c>
      <c r="B22" s="56" t="s">
        <v>76</v>
      </c>
      <c r="C22" s="102">
        <f>SUM(C17:C21)</f>
        <v>29.162465263010617</v>
      </c>
      <c r="D22" s="17">
        <f>SUM(D17:D21)</f>
        <v>26.657085766498994</v>
      </c>
      <c r="E22" s="17">
        <f t="shared" ref="E22:H22" si="1">SUM(E17:E21)</f>
        <v>26.894541935601204</v>
      </c>
      <c r="F22" s="17">
        <f t="shared" si="1"/>
        <v>26.90441045813423</v>
      </c>
      <c r="G22" s="17">
        <f t="shared" si="1"/>
        <v>27.419649196690333</v>
      </c>
      <c r="H22" s="17">
        <f t="shared" si="1"/>
        <v>26.961802713737804</v>
      </c>
      <c r="I22" s="17">
        <f t="shared" si="0"/>
        <v>134.83749007066257</v>
      </c>
      <c r="J22" s="1" t="str">
        <f>IF(I22='7. AA5 forecast summary'!I27,"OK","Check")</f>
        <v>OK</v>
      </c>
      <c r="O22" s="10"/>
    </row>
    <row r="24" spans="1:15" x14ac:dyDescent="0.25">
      <c r="M24" s="8"/>
    </row>
    <row r="26" spans="1:15" x14ac:dyDescent="0.25">
      <c r="I26" s="72"/>
    </row>
    <row r="27" spans="1:15" x14ac:dyDescent="0.25">
      <c r="M27" s="8"/>
    </row>
    <row r="29" spans="1:15" x14ac:dyDescent="0.25">
      <c r="I29" s="73"/>
    </row>
    <row r="30" spans="1:15" x14ac:dyDescent="0.25">
      <c r="I30" s="9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7" ma:contentTypeDescription="Create a new document." ma:contentTypeScope="" ma:versionID="93fa0966094d3fd5756e45a46f03ee6f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5aefd541dfa9dab29b269403ac92ed8c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cdd4fa-266d-4037-89ac-74561c71e551">
      <Terms xmlns="http://schemas.microsoft.com/office/infopath/2007/PartnerControls"/>
    </lcf76f155ced4ddcb4097134ff3c332f>
    <TaxCatchAll xmlns="74d6daee-f4a7-4732-a98f-e16bcf69aece" xsi:nil="true"/>
    <SharedWithUsers xmlns="74d6daee-f4a7-4732-a98f-e16bcf69aece">
      <UserInfo>
        <DisplayName>Matosin, Nives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1E501-9CEE-456A-9796-0DF935B920AA}"/>
</file>

<file path=customXml/itemProps2.xml><?xml version="1.0" encoding="utf-8"?>
<ds:datastoreItem xmlns:ds="http://schemas.openxmlformats.org/officeDocument/2006/customXml" ds:itemID="{5B7671F2-C54C-4C23-8E71-8F0E67B41350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57bab12-2230-4ba5-9c0a-1023524d9930"/>
    <ds:schemaRef ds:uri="http://purl.org/dc/elements/1.1/"/>
    <ds:schemaRef ds:uri="http://schemas.microsoft.com/office/infopath/2007/PartnerControls"/>
    <ds:schemaRef ds:uri="74c04105-76d9-4256-9364-af51479a327e"/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C8CA6EB-B29F-44BC-821D-5CE769F0F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1. Historic Opex</vt:lpstr>
      <vt:lpstr>2. NGI Demand Adjustment</vt:lpstr>
      <vt:lpstr>3. Corporate adjustment</vt:lpstr>
      <vt:lpstr>4. Base year</vt:lpstr>
      <vt:lpstr>5. Escalation</vt:lpstr>
      <vt:lpstr>6. Step changes</vt:lpstr>
      <vt:lpstr>7. AA5 forecast summary</vt:lpstr>
      <vt:lpstr>8. Forecast by category</vt:lpstr>
      <vt:lpstr>9. CPI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McSween, Conor</dc:creator>
  <cp:keywords/>
  <dc:description/>
  <cp:lastModifiedBy>McSween, Conor</cp:lastModifiedBy>
  <cp:revision/>
  <dcterms:created xsi:type="dcterms:W3CDTF">2023-09-06T00:15:11Z</dcterms:created>
  <dcterms:modified xsi:type="dcterms:W3CDTF">2024-09-04T05:45:41Z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  <property fmtid="{D5CDD505-2E9C-101B-9397-08002B2CF9AE}" pid="4" name="MSIP_Label_8e2e509a-f02b-496b-97a8-09ffbb9893ea_Enabled">
    <vt:lpwstr>true</vt:lpwstr>
  </property>
  <property fmtid="{D5CDD505-2E9C-101B-9397-08002B2CF9AE}" pid="5" name="MSIP_Label_8e2e509a-f02b-496b-97a8-09ffbb9893ea_SetDate">
    <vt:lpwstr>2023-09-21T15:41:34Z</vt:lpwstr>
  </property>
  <property fmtid="{D5CDD505-2E9C-101B-9397-08002B2CF9AE}" pid="6" name="MSIP_Label_8e2e509a-f02b-496b-97a8-09ffbb9893ea_Method">
    <vt:lpwstr>Privileged</vt:lpwstr>
  </property>
  <property fmtid="{D5CDD505-2E9C-101B-9397-08002B2CF9AE}" pid="7" name="MSIP_Label_8e2e509a-f02b-496b-97a8-09ffbb9893ea_Name">
    <vt:lpwstr>APA-Internal</vt:lpwstr>
  </property>
  <property fmtid="{D5CDD505-2E9C-101B-9397-08002B2CF9AE}" pid="8" name="MSIP_Label_8e2e509a-f02b-496b-97a8-09ffbb9893ea_SiteId">
    <vt:lpwstr>234ac309-c216-4661-a5ba-18879f6c4c75</vt:lpwstr>
  </property>
  <property fmtid="{D5CDD505-2E9C-101B-9397-08002B2CF9AE}" pid="9" name="MSIP_Label_8e2e509a-f02b-496b-97a8-09ffbb9893ea_ActionId">
    <vt:lpwstr>e0e55cf1-25d2-4fc3-80e9-3d00cf6e6260</vt:lpwstr>
  </property>
  <property fmtid="{D5CDD505-2E9C-101B-9397-08002B2CF9AE}" pid="10" name="MSIP_Label_8e2e509a-f02b-496b-97a8-09ffbb9893ea_ContentBits">
    <vt:lpwstr>0</vt:lpwstr>
  </property>
</Properties>
</file>